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60" yWindow="870" windowWidth="13710" windowHeight="11655" tabRatio="698" firstSheet="1" activeTab="7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<sst xmlns="http://schemas.openxmlformats.org/spreadsheetml/2006/main" count="832" uniqueCount="66">
  <si>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</si>
  <si>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</si>
  <si>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</si>
  <si>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</si>
  <si>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</si>
  <si>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</si>
  <si>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</si>
  <si>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</si>
  <si>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</si>
  <si>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</si>
  <si>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</si>
  <si>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</si>
  <si>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</si>
  <si>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</si>
  <si>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</si>
  <si>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</si>
  <si>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</si>
  <si>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</si>
  <si>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</si>
  <si>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</si>
  <si>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</si>
  <si>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</si>
  <si>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</si>
  <si>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</si>
  <si>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</si>
  <si>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</si>
  <si>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</si>
  <si>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</si>
  <si>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</si>
  <si>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</si>
  <si>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</si>
  <si>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</si>
  <si>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</si>
  <si>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</si>
  <si>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</si>
  <si>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</si>
  <si>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</si>
  <si>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</si>
  <si>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</si>
  <si>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</si>
  <si>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</si>
  <si>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</si>
  <si>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</si>
  <si>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</si>
  <si>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</si>
  <si>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</si>
  <si>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</si>
  <si>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</si>
  <si>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</si>
  <si>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</si>
  <si>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</si>
  <si>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</si>
  <si>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</si>
  <si>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</si>
  <si>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</si>
  <si>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</si>
  <si>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</si>
  <si>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</si>
  <si>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</si>
  <si>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</si>
  <si>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</si>
  <si>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</si>
  <si>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</si>
  <si>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</si>
  <si>
    <t>по міському бюджету м.Черкаси у ЛИПНІ 2019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</si>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</sst>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196" fontId="1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196" fontId="9" fillId="34" borderId="0" xfId="0" applyNumberFormat="1" applyFont="1" applyFill="1" applyAlignment="1">
      <alignment/>
    </xf>
    <xf numFmtId="0" fontId="3" fillId="34" borderId="0" xfId="0" applyFont="1" applyFill="1" applyAlignment="1">
      <alignment horizontal="right"/>
    </xf>
    <xf numFmtId="0" fontId="1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96" fontId="2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/>
    </xf>
    <xf numFmtId="196" fontId="4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196" fontId="10" fillId="34" borderId="0" xfId="0" applyNumberFormat="1" applyFont="1" applyFill="1" applyBorder="1" applyAlignment="1">
      <alignment horizontal="center" vertical="center"/>
    </xf>
    <xf numFmtId="196" fontId="10" fillId="34" borderId="0" xfId="0" applyNumberFormat="1" applyFont="1" applyFill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200" fontId="0" fillId="34" borderId="10" xfId="0" applyNumberFormat="1" applyFill="1" applyBorder="1" applyAlignment="1">
      <alignment/>
    </xf>
    <xf numFmtId="200" fontId="10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 horizontal="center" shrinkToFit="1"/>
    </xf>
    <xf numFmtId="200" fontId="13" fillId="34" borderId="10" xfId="0" applyNumberFormat="1" applyFont="1" applyFill="1" applyBorder="1" applyAlignment="1">
      <alignment horizontal="center" shrinkToFit="1"/>
    </xf>
    <xf numFmtId="200" fontId="10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horizontal="center"/>
    </xf>
    <xf numFmtId="196" fontId="2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/>
    </xf>
    <xf numFmtId="196" fontId="2" fillId="34" borderId="10" xfId="0" applyNumberFormat="1" applyFont="1" applyFill="1" applyBorder="1" applyAlignment="1">
      <alignment/>
    </xf>
    <xf numFmtId="200" fontId="2" fillId="34" borderId="1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196" fontId="1" fillId="34" borderId="0" xfId="0" applyNumberFormat="1" applyFont="1" applyFill="1" applyAlignment="1">
      <alignment/>
    </xf>
    <xf numFmtId="200" fontId="1" fillId="34" borderId="0" xfId="0" applyNumberFormat="1" applyFont="1" applyFill="1" applyAlignment="1">
      <alignment/>
    </xf>
    <xf numFmtId="0" fontId="0" fillId="34" borderId="0" xfId="0" applyFill="1" applyAlignment="1">
      <alignment horizontal="right"/>
    </xf>
    <xf numFmtId="0" fontId="0" fillId="34" borderId="0" xfId="0" applyFill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4" borderId="0" xfId="0" applyFont="1" applyFill="1" applyAlignment="1">
      <alignment horizontal="center"/>
    </xf>
    <xf numFmtId="0" fontId="15" fillId="34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95" t="s">
        <v>12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</row>
    <row r="2" spans="1:34" s="18" customFormat="1" ht="22.5" customHeight="1">
      <c r="A2" s="196" t="s">
        <v>60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R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G15" sqref="AG15:AG2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95" t="s">
        <v>12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</row>
    <row r="2" spans="1:34" s="18" customFormat="1" ht="22.5" customHeight="1">
      <c r="A2" s="196" t="s">
        <v>62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63803.2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>
        <v>31901.6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C7+F7+K7-AG16-AG25</f>
        <v>1603.899999999987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136207.2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>
        <v>5263.3</v>
      </c>
      <c r="Q8" s="62">
        <v>5190.3</v>
      </c>
      <c r="R8" s="62">
        <v>7573.1</v>
      </c>
      <c r="S8" s="62">
        <v>10972.7</v>
      </c>
      <c r="T8" s="63">
        <v>3749</v>
      </c>
      <c r="U8" s="63">
        <v>9651.2</v>
      </c>
      <c r="V8" s="62">
        <v>19596.5</v>
      </c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28300.3066200002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219183.89999999997</v>
      </c>
      <c r="C9" s="132">
        <f t="shared" si="0"/>
        <v>79954.2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5695.3</v>
      </c>
      <c r="Q9" s="90">
        <f t="shared" si="0"/>
        <v>4019</v>
      </c>
      <c r="R9" s="90">
        <f t="shared" si="0"/>
        <v>4339.4</v>
      </c>
      <c r="S9" s="90">
        <f t="shared" si="0"/>
        <v>47823.69999999999</v>
      </c>
      <c r="T9" s="90">
        <f t="shared" si="0"/>
        <v>15705.400000000001</v>
      </c>
      <c r="U9" s="90">
        <f t="shared" si="0"/>
        <v>9906.7</v>
      </c>
      <c r="V9" s="90">
        <f t="shared" si="0"/>
        <v>16507.3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231911.67161999992</v>
      </c>
      <c r="AH9" s="90">
        <f>AH10+AH15+AH24+AH33+AH47+AH52+AH54+AH61+AH62+AH71+AH72+AH76+AH88+AH81+AH83+AH82+AH69+AH89+AH91+AH90+AH70+AH40+AH92</f>
        <v>67226.42838000007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>
        <v>479.2</v>
      </c>
      <c r="Q10" s="72">
        <v>19.1</v>
      </c>
      <c r="R10" s="72">
        <v>1.8</v>
      </c>
      <c r="S10" s="72">
        <v>1175.5</v>
      </c>
      <c r="T10" s="72">
        <v>45.4</v>
      </c>
      <c r="U10" s="72">
        <v>8006.2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17846.8</v>
      </c>
      <c r="AH10" s="72">
        <f>B10+C10-AG10</f>
        <v>6768.299999999999</v>
      </c>
      <c r="AJ10" s="21"/>
    </row>
    <row r="11" spans="1:36" s="140" customFormat="1" ht="15.75">
      <c r="A11" s="137" t="s">
        <v>5</v>
      </c>
      <c r="B11" s="138">
        <v>17936.1</v>
      </c>
      <c r="C11" s="138">
        <v>4435.300000000007</v>
      </c>
      <c r="D11" s="139"/>
      <c r="E11" s="139">
        <v>244.9</v>
      </c>
      <c r="F11" s="139">
        <v>22.5</v>
      </c>
      <c r="G11" s="139">
        <v>122</v>
      </c>
      <c r="H11" s="139"/>
      <c r="I11" s="139"/>
      <c r="J11" s="139">
        <v>32.5</v>
      </c>
      <c r="K11" s="139">
        <f>2213.2+9.1</f>
        <v>2222.2999999999997</v>
      </c>
      <c r="L11" s="139">
        <v>1219</v>
      </c>
      <c r="M11" s="139">
        <v>3586</v>
      </c>
      <c r="N11" s="139"/>
      <c r="O11" s="139"/>
      <c r="P11" s="139">
        <v>360</v>
      </c>
      <c r="Q11" s="139"/>
      <c r="R11" s="139"/>
      <c r="S11" s="139">
        <v>1161.2</v>
      </c>
      <c r="T11" s="139"/>
      <c r="U11" s="139">
        <v>7970.4</v>
      </c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>
        <f t="shared" si="1"/>
        <v>16940.8</v>
      </c>
      <c r="AH11" s="139">
        <f>B11+C11-AG11</f>
        <v>5430.600000000006</v>
      </c>
      <c r="AJ11" s="141"/>
    </row>
    <row r="12" spans="1:36" s="140" customFormat="1" ht="15.75">
      <c r="A12" s="137" t="s">
        <v>2</v>
      </c>
      <c r="B12" s="142">
        <f>94.4-30</f>
        <v>64.4</v>
      </c>
      <c r="C12" s="138">
        <v>18.69999999999999</v>
      </c>
      <c r="D12" s="139"/>
      <c r="E12" s="139"/>
      <c r="F12" s="139"/>
      <c r="G12" s="139">
        <v>52.3</v>
      </c>
      <c r="H12" s="139"/>
      <c r="I12" s="139">
        <v>6.5</v>
      </c>
      <c r="J12" s="139"/>
      <c r="K12" s="139"/>
      <c r="L12" s="139"/>
      <c r="M12" s="139"/>
      <c r="N12" s="139"/>
      <c r="O12" s="139"/>
      <c r="P12" s="139"/>
      <c r="Q12" s="139">
        <v>0.9</v>
      </c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>
        <f t="shared" si="1"/>
        <v>59.699999999999996</v>
      </c>
      <c r="AH12" s="139">
        <f>B12+C12-AG12</f>
        <v>23.4</v>
      </c>
      <c r="AJ12" s="141"/>
    </row>
    <row r="13" spans="1:36" s="140" customFormat="1" ht="15.75" hidden="1">
      <c r="A13" s="137" t="s">
        <v>16</v>
      </c>
      <c r="B13" s="138"/>
      <c r="C13" s="138">
        <v>0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>
        <f t="shared" si="1"/>
        <v>0</v>
      </c>
      <c r="AH13" s="139">
        <f>B13+C13-AG13</f>
        <v>0</v>
      </c>
      <c r="AJ13" s="141"/>
    </row>
    <row r="14" spans="1:36" s="140" customFormat="1" ht="15.75">
      <c r="A14" s="137" t="s">
        <v>23</v>
      </c>
      <c r="B14" s="138">
        <f aca="true" t="shared" si="2" ref="B14:Z14">B10-B11-B12-B13</f>
        <v>970.9000000000029</v>
      </c>
      <c r="C14" s="138">
        <v>1189.6999999999905</v>
      </c>
      <c r="D14" s="139">
        <f t="shared" si="2"/>
        <v>0</v>
      </c>
      <c r="E14" s="139">
        <f t="shared" si="2"/>
        <v>2.0999999999999943</v>
      </c>
      <c r="F14" s="139">
        <f t="shared" si="2"/>
        <v>22.299999999999997</v>
      </c>
      <c r="G14" s="139">
        <f t="shared" si="2"/>
        <v>239.2</v>
      </c>
      <c r="H14" s="139">
        <f>H10-H11-H12-H13</f>
        <v>53.4</v>
      </c>
      <c r="I14" s="139">
        <f t="shared" si="2"/>
        <v>19.2</v>
      </c>
      <c r="J14" s="139">
        <f t="shared" si="2"/>
        <v>107.4</v>
      </c>
      <c r="K14" s="139">
        <f t="shared" si="2"/>
        <v>103.60000000000036</v>
      </c>
      <c r="L14" s="139">
        <f t="shared" si="2"/>
        <v>5.599999999999909</v>
      </c>
      <c r="M14" s="139">
        <f t="shared" si="2"/>
        <v>26.699999999999818</v>
      </c>
      <c r="N14" s="139">
        <f t="shared" si="2"/>
        <v>7.2</v>
      </c>
      <c r="O14" s="139">
        <f t="shared" si="2"/>
        <v>24.9</v>
      </c>
      <c r="P14" s="139">
        <f t="shared" si="2"/>
        <v>119.19999999999999</v>
      </c>
      <c r="Q14" s="139">
        <f t="shared" si="2"/>
        <v>18.200000000000003</v>
      </c>
      <c r="R14" s="139">
        <f t="shared" si="2"/>
        <v>1.8</v>
      </c>
      <c r="S14" s="139">
        <f t="shared" si="2"/>
        <v>14.299999999999955</v>
      </c>
      <c r="T14" s="139">
        <f t="shared" si="2"/>
        <v>45.4</v>
      </c>
      <c r="U14" s="139">
        <f t="shared" si="2"/>
        <v>35.80000000000018</v>
      </c>
      <c r="V14" s="139">
        <f t="shared" si="2"/>
        <v>0</v>
      </c>
      <c r="W14" s="139">
        <f t="shared" si="2"/>
        <v>0</v>
      </c>
      <c r="X14" s="139">
        <f t="shared" si="2"/>
        <v>0</v>
      </c>
      <c r="Y14" s="139">
        <f t="shared" si="2"/>
        <v>0</v>
      </c>
      <c r="Z14" s="139">
        <f t="shared" si="2"/>
        <v>0</v>
      </c>
      <c r="AA14" s="139"/>
      <c r="AB14" s="139"/>
      <c r="AC14" s="139"/>
      <c r="AD14" s="139"/>
      <c r="AE14" s="139"/>
      <c r="AF14" s="139"/>
      <c r="AG14" s="139">
        <f t="shared" si="1"/>
        <v>846.3000000000001</v>
      </c>
      <c r="AH14" s="139">
        <f>AH10-AH11-AH12-AH13</f>
        <v>1314.2999999999934</v>
      </c>
      <c r="AJ14" s="141"/>
    </row>
    <row r="15" spans="1:36" s="140" customFormat="1" ht="15" customHeight="1">
      <c r="A15" s="143" t="s">
        <v>6</v>
      </c>
      <c r="B15" s="138">
        <f>113508.2+2.3-1603.2-3000</f>
        <v>108907.3</v>
      </c>
      <c r="C15" s="138">
        <v>43415.30000000002</v>
      </c>
      <c r="D15" s="144"/>
      <c r="E15" s="144"/>
      <c r="F15" s="139">
        <f>188.2+2302.2</f>
        <v>2490.3999999999996</v>
      </c>
      <c r="G15" s="139">
        <v>499</v>
      </c>
      <c r="H15" s="139">
        <v>1591.3</v>
      </c>
      <c r="I15" s="139">
        <v>567.9</v>
      </c>
      <c r="J15" s="139">
        <v>115.1</v>
      </c>
      <c r="K15" s="139">
        <v>18723.3</v>
      </c>
      <c r="L15" s="139">
        <f>4498.4+41728.4</f>
        <v>46226.8</v>
      </c>
      <c r="M15" s="139">
        <v>849.5</v>
      </c>
      <c r="N15" s="139">
        <v>425.1</v>
      </c>
      <c r="O15" s="139">
        <v>621.1</v>
      </c>
      <c r="P15" s="139">
        <v>23.4</v>
      </c>
      <c r="Q15" s="139">
        <v>130.9</v>
      </c>
      <c r="R15" s="139">
        <v>1148.2</v>
      </c>
      <c r="S15" s="139">
        <f>15957.3+10871.6</f>
        <v>26828.9</v>
      </c>
      <c r="T15" s="139">
        <v>22012.8</v>
      </c>
      <c r="U15" s="139">
        <v>800.8</v>
      </c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>
        <f t="shared" si="1"/>
        <v>123054.5</v>
      </c>
      <c r="AH15" s="139">
        <f aca="true" t="shared" si="3" ref="AH15:AH31">B15+C15-AG15</f>
        <v>29268.100000000035</v>
      </c>
      <c r="AJ15" s="141"/>
    </row>
    <row r="16" spans="1:36" s="150" customFormat="1" ht="15" customHeight="1">
      <c r="A16" s="145" t="s">
        <v>38</v>
      </c>
      <c r="B16" s="146">
        <v>46764.9</v>
      </c>
      <c r="C16" s="146">
        <v>9099</v>
      </c>
      <c r="D16" s="147"/>
      <c r="E16" s="147"/>
      <c r="F16" s="148">
        <v>2302.2</v>
      </c>
      <c r="G16" s="148"/>
      <c r="H16" s="148"/>
      <c r="I16" s="148"/>
      <c r="J16" s="148"/>
      <c r="K16" s="148"/>
      <c r="L16" s="148">
        <v>41728.4</v>
      </c>
      <c r="M16" s="148">
        <v>13.4</v>
      </c>
      <c r="N16" s="148"/>
      <c r="O16" s="148"/>
      <c r="P16" s="148"/>
      <c r="Q16" s="148"/>
      <c r="R16" s="148"/>
      <c r="S16" s="148">
        <v>10871.6</v>
      </c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7">
        <f t="shared" si="1"/>
        <v>54915.6</v>
      </c>
      <c r="AH16" s="147">
        <f t="shared" si="3"/>
        <v>948.3000000000029</v>
      </c>
      <c r="AI16" s="149"/>
      <c r="AJ16" s="141"/>
    </row>
    <row r="17" spans="1:36" s="140" customFormat="1" ht="15.75">
      <c r="A17" s="137" t="s">
        <v>5</v>
      </c>
      <c r="B17" s="138">
        <v>99576.2</v>
      </c>
      <c r="C17" s="138">
        <v>25260.059999999983</v>
      </c>
      <c r="D17" s="139"/>
      <c r="E17" s="139"/>
      <c r="F17" s="139">
        <f>2302.2+162.1</f>
        <v>2464.2999999999997</v>
      </c>
      <c r="G17" s="139"/>
      <c r="H17" s="139"/>
      <c r="I17" s="139"/>
      <c r="J17" s="139"/>
      <c r="K17" s="139">
        <v>18657.4</v>
      </c>
      <c r="L17" s="139">
        <f>3346.3+41728.4</f>
        <v>45074.700000000004</v>
      </c>
      <c r="M17" s="139">
        <v>13.4</v>
      </c>
      <c r="N17" s="139">
        <v>4.5</v>
      </c>
      <c r="O17" s="139"/>
      <c r="P17" s="139"/>
      <c r="Q17" s="139"/>
      <c r="R17" s="139"/>
      <c r="S17" s="139">
        <f>10871.6+15709.6</f>
        <v>26581.2</v>
      </c>
      <c r="T17" s="139">
        <v>21507.2</v>
      </c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>
        <f t="shared" si="1"/>
        <v>114302.7</v>
      </c>
      <c r="AH17" s="139">
        <f t="shared" si="3"/>
        <v>10533.559999999983</v>
      </c>
      <c r="AI17" s="141"/>
      <c r="AJ17" s="141"/>
    </row>
    <row r="18" spans="1:36" s="140" customFormat="1" ht="15.75">
      <c r="A18" s="137" t="s">
        <v>3</v>
      </c>
      <c r="B18" s="138">
        <v>0</v>
      </c>
      <c r="C18" s="138">
        <v>14.700000000000001</v>
      </c>
      <c r="D18" s="139"/>
      <c r="E18" s="139"/>
      <c r="F18" s="139"/>
      <c r="G18" s="139"/>
      <c r="H18" s="139"/>
      <c r="I18" s="139">
        <v>0.1</v>
      </c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>
        <f t="shared" si="1"/>
        <v>0.1</v>
      </c>
      <c r="AH18" s="139">
        <f t="shared" si="3"/>
        <v>14.600000000000001</v>
      </c>
      <c r="AJ18" s="141"/>
    </row>
    <row r="19" spans="1:36" s="140" customFormat="1" ht="15.75">
      <c r="A19" s="137" t="s">
        <v>1</v>
      </c>
      <c r="B19" s="138">
        <v>2131.2</v>
      </c>
      <c r="C19" s="138">
        <v>2625.2999999999984</v>
      </c>
      <c r="D19" s="139"/>
      <c r="E19" s="139"/>
      <c r="F19" s="139"/>
      <c r="G19" s="139">
        <v>334.9</v>
      </c>
      <c r="H19" s="139">
        <v>507.1</v>
      </c>
      <c r="I19" s="139">
        <v>37.5</v>
      </c>
      <c r="J19" s="139">
        <v>42.2</v>
      </c>
      <c r="K19" s="139"/>
      <c r="L19" s="139">
        <v>615.4</v>
      </c>
      <c r="M19" s="139">
        <v>261.9</v>
      </c>
      <c r="N19" s="139">
        <v>63.6</v>
      </c>
      <c r="O19" s="139">
        <v>420</v>
      </c>
      <c r="P19" s="139">
        <v>11.8</v>
      </c>
      <c r="Q19" s="139">
        <v>62.7</v>
      </c>
      <c r="R19" s="139">
        <v>271.9</v>
      </c>
      <c r="S19" s="139"/>
      <c r="T19" s="139">
        <v>339.3</v>
      </c>
      <c r="U19" s="139">
        <v>1.2</v>
      </c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>
        <f t="shared" si="1"/>
        <v>2969.5</v>
      </c>
      <c r="AH19" s="139">
        <f t="shared" si="3"/>
        <v>1786.9999999999982</v>
      </c>
      <c r="AJ19" s="141"/>
    </row>
    <row r="20" spans="1:36" s="140" customFormat="1" ht="15.75">
      <c r="A20" s="137" t="s">
        <v>2</v>
      </c>
      <c r="B20" s="138">
        <f>7677.9-1603.2-1801.7-3000</f>
        <v>1273</v>
      </c>
      <c r="C20" s="138">
        <v>8108.699999999996</v>
      </c>
      <c r="D20" s="139"/>
      <c r="E20" s="139"/>
      <c r="F20" s="139">
        <v>26.1</v>
      </c>
      <c r="G20" s="139">
        <v>153.5</v>
      </c>
      <c r="H20" s="139">
        <v>791.4</v>
      </c>
      <c r="I20" s="139">
        <v>33.6</v>
      </c>
      <c r="J20" s="139">
        <v>60.7</v>
      </c>
      <c r="K20" s="139">
        <v>1.7</v>
      </c>
      <c r="L20" s="139">
        <v>401.1</v>
      </c>
      <c r="M20" s="139">
        <v>68.1</v>
      </c>
      <c r="N20" s="139">
        <v>24.8</v>
      </c>
      <c r="O20" s="139">
        <f>4.6+1</f>
        <v>5.6</v>
      </c>
      <c r="P20" s="139">
        <v>8</v>
      </c>
      <c r="Q20" s="139">
        <v>29.5</v>
      </c>
      <c r="R20" s="139">
        <v>15</v>
      </c>
      <c r="S20" s="139">
        <v>11.6</v>
      </c>
      <c r="T20" s="139">
        <v>51.3</v>
      </c>
      <c r="U20" s="139">
        <v>0.2</v>
      </c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>
        <f t="shared" si="1"/>
        <v>1682.1999999999996</v>
      </c>
      <c r="AH20" s="139">
        <f t="shared" si="3"/>
        <v>7699.499999999997</v>
      </c>
      <c r="AJ20" s="141"/>
    </row>
    <row r="21" spans="1:36" s="140" customFormat="1" ht="15.75">
      <c r="A21" s="137" t="s">
        <v>16</v>
      </c>
      <c r="B21" s="138">
        <f>979.8+2.3</f>
        <v>982.0999999999999</v>
      </c>
      <c r="C21" s="138">
        <v>761.5999999999999</v>
      </c>
      <c r="D21" s="139"/>
      <c r="E21" s="139"/>
      <c r="F21" s="139"/>
      <c r="G21" s="139"/>
      <c r="H21" s="139"/>
      <c r="I21" s="139"/>
      <c r="J21" s="139">
        <v>11.5</v>
      </c>
      <c r="K21" s="139"/>
      <c r="L21" s="139"/>
      <c r="M21" s="139">
        <v>502</v>
      </c>
      <c r="N21" s="139">
        <v>21</v>
      </c>
      <c r="O21" s="139"/>
      <c r="P21" s="139"/>
      <c r="Q21" s="139"/>
      <c r="R21" s="139">
        <v>253.6</v>
      </c>
      <c r="S21" s="139">
        <v>228.1</v>
      </c>
      <c r="T21" s="139"/>
      <c r="U21" s="139">
        <v>113.2</v>
      </c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>
        <f t="shared" si="1"/>
        <v>1129.4</v>
      </c>
      <c r="AH21" s="139">
        <f t="shared" si="3"/>
        <v>614.2999999999997</v>
      </c>
      <c r="AJ21" s="141"/>
    </row>
    <row r="22" spans="1:36" s="140" customFormat="1" ht="15.75" hidden="1">
      <c r="A22" s="137" t="s">
        <v>15</v>
      </c>
      <c r="B22" s="151"/>
      <c r="C22" s="138">
        <v>0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>
        <f t="shared" si="1"/>
        <v>0</v>
      </c>
      <c r="AH22" s="139">
        <f t="shared" si="3"/>
        <v>0</v>
      </c>
      <c r="AJ22" s="141"/>
    </row>
    <row r="23" spans="1:36" s="140" customFormat="1" ht="15.75">
      <c r="A23" s="137" t="s">
        <v>23</v>
      </c>
      <c r="B23" s="138">
        <f>B15-B17-B18-B19-B20-B21-B22</f>
        <v>4944.800000000007</v>
      </c>
      <c r="C23" s="138">
        <v>6644.940000000013</v>
      </c>
      <c r="D23" s="139">
        <f aca="true" t="shared" si="4" ref="D23:AE23">D15-D17-D18-D19-D20-D21-D22</f>
        <v>0</v>
      </c>
      <c r="E23" s="139">
        <f t="shared" si="4"/>
        <v>0</v>
      </c>
      <c r="F23" s="139">
        <f t="shared" si="4"/>
        <v>-9.237055564881302E-14</v>
      </c>
      <c r="G23" s="139">
        <f t="shared" si="4"/>
        <v>10.600000000000023</v>
      </c>
      <c r="H23" s="139">
        <f>H15-H17-H18-H19-H20-H21-H22</f>
        <v>292.79999999999984</v>
      </c>
      <c r="I23" s="139">
        <f t="shared" si="4"/>
        <v>496.69999999999993</v>
      </c>
      <c r="J23" s="139">
        <f t="shared" si="4"/>
        <v>0.6999999999999886</v>
      </c>
      <c r="K23" s="139">
        <f t="shared" si="4"/>
        <v>64.19999999999781</v>
      </c>
      <c r="L23" s="139">
        <f t="shared" si="4"/>
        <v>135.59999999999854</v>
      </c>
      <c r="M23" s="139">
        <f t="shared" si="4"/>
        <v>4.100000000000023</v>
      </c>
      <c r="N23" s="139">
        <f t="shared" si="4"/>
        <v>311.2</v>
      </c>
      <c r="O23" s="139">
        <f t="shared" si="4"/>
        <v>195.50000000000003</v>
      </c>
      <c r="P23" s="139">
        <f t="shared" si="4"/>
        <v>3.599999999999998</v>
      </c>
      <c r="Q23" s="139">
        <f t="shared" si="4"/>
        <v>38.7</v>
      </c>
      <c r="R23" s="139">
        <f t="shared" si="4"/>
        <v>607.7</v>
      </c>
      <c r="S23" s="139">
        <f t="shared" si="4"/>
        <v>8.000000000000739</v>
      </c>
      <c r="T23" s="139">
        <f t="shared" si="4"/>
        <v>114.99999999999854</v>
      </c>
      <c r="U23" s="139">
        <f t="shared" si="4"/>
        <v>686.1999999999998</v>
      </c>
      <c r="V23" s="139">
        <f t="shared" si="4"/>
        <v>0</v>
      </c>
      <c r="W23" s="139">
        <f t="shared" si="4"/>
        <v>0</v>
      </c>
      <c r="X23" s="139">
        <f t="shared" si="4"/>
        <v>0</v>
      </c>
      <c r="Y23" s="139">
        <f t="shared" si="4"/>
        <v>0</v>
      </c>
      <c r="Z23" s="139">
        <f t="shared" si="4"/>
        <v>0</v>
      </c>
      <c r="AA23" s="139">
        <f t="shared" si="4"/>
        <v>0</v>
      </c>
      <c r="AB23" s="139">
        <f t="shared" si="4"/>
        <v>0</v>
      </c>
      <c r="AC23" s="139">
        <f t="shared" si="4"/>
        <v>0</v>
      </c>
      <c r="AD23" s="139">
        <f t="shared" si="4"/>
        <v>0</v>
      </c>
      <c r="AE23" s="139">
        <f t="shared" si="4"/>
        <v>0</v>
      </c>
      <c r="AF23" s="139"/>
      <c r="AG23" s="139">
        <f>SUM(D23:AE23)</f>
        <v>2970.5999999999954</v>
      </c>
      <c r="AH23" s="139">
        <f>B23+C23-AG23</f>
        <v>8619.140000000025</v>
      </c>
      <c r="AJ23" s="141"/>
    </row>
    <row r="24" spans="1:36" s="140" customFormat="1" ht="15" customHeight="1">
      <c r="A24" s="143" t="s">
        <v>7</v>
      </c>
      <c r="B24" s="138">
        <f>38587-6554-321.5+680.4+0.2</f>
        <v>32392.100000000002</v>
      </c>
      <c r="C24" s="138">
        <v>15127.600000000006</v>
      </c>
      <c r="D24" s="139"/>
      <c r="E24" s="139"/>
      <c r="F24" s="139">
        <v>124.1</v>
      </c>
      <c r="G24" s="139">
        <v>88.2</v>
      </c>
      <c r="H24" s="139"/>
      <c r="I24" s="139">
        <f>465.537+2379.1</f>
        <v>2844.6369999999997</v>
      </c>
      <c r="J24" s="139">
        <v>2.5</v>
      </c>
      <c r="K24" s="139">
        <f>781.8+7929.5</f>
        <v>8711.3</v>
      </c>
      <c r="L24" s="139">
        <v>2777.4</v>
      </c>
      <c r="M24" s="139"/>
      <c r="N24" s="139">
        <v>2069.6</v>
      </c>
      <c r="O24" s="139">
        <f>0.4+7.6</f>
        <v>8</v>
      </c>
      <c r="P24" s="139"/>
      <c r="Q24" s="139"/>
      <c r="R24" s="139">
        <f>55.2+549.6</f>
        <v>604.8000000000001</v>
      </c>
      <c r="S24" s="139">
        <f>6132.1+3997.5</f>
        <v>10129.6</v>
      </c>
      <c r="T24" s="139">
        <f>7281</f>
        <v>7281</v>
      </c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>
        <f t="shared" si="1"/>
        <v>34641.136999999995</v>
      </c>
      <c r="AH24" s="139">
        <f t="shared" si="3"/>
        <v>12878.563000000016</v>
      </c>
      <c r="AJ24" s="141"/>
    </row>
    <row r="25" spans="1:36" s="150" customFormat="1" ht="15" customHeight="1">
      <c r="A25" s="145" t="s">
        <v>39</v>
      </c>
      <c r="B25" s="146">
        <f>17137.9+0.2</f>
        <v>17138.100000000002</v>
      </c>
      <c r="C25" s="146">
        <v>199.40000000000146</v>
      </c>
      <c r="D25" s="148"/>
      <c r="E25" s="148"/>
      <c r="F25" s="148">
        <v>124.1</v>
      </c>
      <c r="G25" s="148"/>
      <c r="H25" s="148"/>
      <c r="I25" s="148">
        <v>465.5</v>
      </c>
      <c r="J25" s="148"/>
      <c r="K25" s="148">
        <v>7929.5</v>
      </c>
      <c r="L25" s="148">
        <v>2777.4</v>
      </c>
      <c r="M25" s="148"/>
      <c r="N25" s="148">
        <v>1429.6</v>
      </c>
      <c r="O25" s="148">
        <v>7.6</v>
      </c>
      <c r="P25" s="148"/>
      <c r="Q25" s="148"/>
      <c r="R25" s="148">
        <v>549.6</v>
      </c>
      <c r="S25" s="148">
        <v>3997.5</v>
      </c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7">
        <f t="shared" si="1"/>
        <v>17280.800000000003</v>
      </c>
      <c r="AH25" s="147">
        <f t="shared" si="3"/>
        <v>56.70000000000073</v>
      </c>
      <c r="AI25" s="149"/>
      <c r="AJ25" s="141"/>
    </row>
    <row r="26" spans="1:36" s="140" customFormat="1" ht="15.75" hidden="1">
      <c r="A26" s="137" t="s">
        <v>5</v>
      </c>
      <c r="B26" s="138"/>
      <c r="C26" s="138">
        <v>0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>
        <f t="shared" si="1"/>
        <v>0</v>
      </c>
      <c r="AH26" s="139">
        <f t="shared" si="3"/>
        <v>0</v>
      </c>
      <c r="AI26" s="141"/>
      <c r="AJ26" s="141"/>
    </row>
    <row r="27" spans="1:36" s="140" customFormat="1" ht="15.75" hidden="1">
      <c r="A27" s="137" t="s">
        <v>3</v>
      </c>
      <c r="B27" s="138"/>
      <c r="C27" s="138">
        <v>0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>
        <f t="shared" si="1"/>
        <v>0</v>
      </c>
      <c r="AH27" s="139">
        <f t="shared" si="3"/>
        <v>0</v>
      </c>
      <c r="AJ27" s="141"/>
    </row>
    <row r="28" spans="1:36" s="140" customFormat="1" ht="15.75" hidden="1">
      <c r="A28" s="137" t="s">
        <v>1</v>
      </c>
      <c r="B28" s="138"/>
      <c r="C28" s="138">
        <v>0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>
        <f t="shared" si="1"/>
        <v>0</v>
      </c>
      <c r="AH28" s="139">
        <f t="shared" si="3"/>
        <v>0</v>
      </c>
      <c r="AJ28" s="141"/>
    </row>
    <row r="29" spans="1:36" s="140" customFormat="1" ht="15.75" hidden="1">
      <c r="A29" s="137" t="s">
        <v>2</v>
      </c>
      <c r="B29" s="138"/>
      <c r="C29" s="138">
        <v>0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>
        <f t="shared" si="1"/>
        <v>0</v>
      </c>
      <c r="AH29" s="139">
        <f t="shared" si="3"/>
        <v>0</v>
      </c>
      <c r="AJ29" s="141"/>
    </row>
    <row r="30" spans="1:36" s="140" customFormat="1" ht="15.75">
      <c r="A30" s="137" t="s">
        <v>16</v>
      </c>
      <c r="B30" s="138">
        <f>90.9+42.4</f>
        <v>133.3</v>
      </c>
      <c r="C30" s="138">
        <v>63.90000000000002</v>
      </c>
      <c r="D30" s="139"/>
      <c r="E30" s="139"/>
      <c r="F30" s="139"/>
      <c r="G30" s="139">
        <v>88.2</v>
      </c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>
        <v>109</v>
      </c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>
        <f t="shared" si="1"/>
        <v>197.2</v>
      </c>
      <c r="AH30" s="139">
        <f t="shared" si="3"/>
        <v>0</v>
      </c>
      <c r="AJ30" s="141"/>
    </row>
    <row r="31" spans="1:36" s="140" customFormat="1" ht="15.75" hidden="1">
      <c r="A31" s="137" t="s">
        <v>15</v>
      </c>
      <c r="B31" s="138"/>
      <c r="C31" s="138">
        <v>0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>
        <f t="shared" si="1"/>
        <v>0</v>
      </c>
      <c r="AH31" s="139">
        <f t="shared" si="3"/>
        <v>0</v>
      </c>
      <c r="AJ31" s="141"/>
    </row>
    <row r="32" spans="1:36" s="140" customFormat="1" ht="15.75">
      <c r="A32" s="137" t="s">
        <v>23</v>
      </c>
      <c r="B32" s="138">
        <f>B24-B30</f>
        <v>32258.800000000003</v>
      </c>
      <c r="C32" s="138">
        <v>15063.700000000006</v>
      </c>
      <c r="D32" s="139">
        <f aca="true" t="shared" si="5" ref="D32:AE32">D24-D26-D27-D28-D29-D30-D31</f>
        <v>0</v>
      </c>
      <c r="E32" s="139">
        <f t="shared" si="5"/>
        <v>0</v>
      </c>
      <c r="F32" s="139">
        <f t="shared" si="5"/>
        <v>124.1</v>
      </c>
      <c r="G32" s="139">
        <f t="shared" si="5"/>
        <v>0</v>
      </c>
      <c r="H32" s="139">
        <f>H24-H26-H27-H28-H29-H30-H31</f>
        <v>0</v>
      </c>
      <c r="I32" s="139">
        <f t="shared" si="5"/>
        <v>2844.6369999999997</v>
      </c>
      <c r="J32" s="139">
        <f t="shared" si="5"/>
        <v>2.5</v>
      </c>
      <c r="K32" s="139">
        <f t="shared" si="5"/>
        <v>8711.3</v>
      </c>
      <c r="L32" s="139">
        <f t="shared" si="5"/>
        <v>2777.4</v>
      </c>
      <c r="M32" s="139">
        <f t="shared" si="5"/>
        <v>0</v>
      </c>
      <c r="N32" s="139">
        <f t="shared" si="5"/>
        <v>2069.6</v>
      </c>
      <c r="O32" s="139">
        <f t="shared" si="5"/>
        <v>8</v>
      </c>
      <c r="P32" s="139">
        <f t="shared" si="5"/>
        <v>0</v>
      </c>
      <c r="Q32" s="139">
        <f t="shared" si="5"/>
        <v>0</v>
      </c>
      <c r="R32" s="139">
        <f t="shared" si="5"/>
        <v>604.8000000000001</v>
      </c>
      <c r="S32" s="139">
        <f t="shared" si="5"/>
        <v>10020.6</v>
      </c>
      <c r="T32" s="139">
        <f t="shared" si="5"/>
        <v>7281</v>
      </c>
      <c r="U32" s="139">
        <f t="shared" si="5"/>
        <v>0</v>
      </c>
      <c r="V32" s="139">
        <f t="shared" si="5"/>
        <v>0</v>
      </c>
      <c r="W32" s="139">
        <f t="shared" si="5"/>
        <v>0</v>
      </c>
      <c r="X32" s="139">
        <f t="shared" si="5"/>
        <v>0</v>
      </c>
      <c r="Y32" s="139">
        <f t="shared" si="5"/>
        <v>0</v>
      </c>
      <c r="Z32" s="139">
        <f t="shared" si="5"/>
        <v>0</v>
      </c>
      <c r="AA32" s="139">
        <f t="shared" si="5"/>
        <v>0</v>
      </c>
      <c r="AB32" s="139">
        <f t="shared" si="5"/>
        <v>0</v>
      </c>
      <c r="AC32" s="139">
        <f t="shared" si="5"/>
        <v>0</v>
      </c>
      <c r="AD32" s="139">
        <f t="shared" si="5"/>
        <v>0</v>
      </c>
      <c r="AE32" s="139">
        <f t="shared" si="5"/>
        <v>0</v>
      </c>
      <c r="AF32" s="139"/>
      <c r="AG32" s="139">
        <f t="shared" si="1"/>
        <v>34443.937</v>
      </c>
      <c r="AH32" s="139">
        <f>AH24-AH30</f>
        <v>12878.563000000016</v>
      </c>
      <c r="AJ32" s="141"/>
    </row>
    <row r="33" spans="1:36" s="140" customFormat="1" ht="15" customHeight="1">
      <c r="A33" s="143" t="s">
        <v>8</v>
      </c>
      <c r="B33" s="138">
        <v>2278.8</v>
      </c>
      <c r="C33" s="138">
        <v>635.0000000000001</v>
      </c>
      <c r="D33" s="139"/>
      <c r="E33" s="139"/>
      <c r="F33" s="139"/>
      <c r="G33" s="139"/>
      <c r="H33" s="139">
        <v>7.3</v>
      </c>
      <c r="I33" s="139"/>
      <c r="J33" s="139"/>
      <c r="K33" s="139"/>
      <c r="L33" s="139">
        <v>105</v>
      </c>
      <c r="M33" s="139"/>
      <c r="N33" s="139"/>
      <c r="O33" s="139"/>
      <c r="P33" s="139">
        <v>495.2</v>
      </c>
      <c r="Q33" s="139"/>
      <c r="R33" s="139">
        <v>130.9</v>
      </c>
      <c r="S33" s="139">
        <v>134.1</v>
      </c>
      <c r="T33" s="139">
        <v>450.8</v>
      </c>
      <c r="U33" s="139">
        <v>421.5</v>
      </c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>
        <f>SUM(D33:AE33)</f>
        <v>1744.8</v>
      </c>
      <c r="AH33" s="139">
        <f aca="true" t="shared" si="6" ref="AH33:AH38">B33+C33-AG33</f>
        <v>1169.0000000000002</v>
      </c>
      <c r="AJ33" s="141"/>
    </row>
    <row r="34" spans="1:36" s="140" customFormat="1" ht="15.75">
      <c r="A34" s="137" t="s">
        <v>5</v>
      </c>
      <c r="B34" s="138">
        <v>346.6</v>
      </c>
      <c r="C34" s="138">
        <v>28.899999999999977</v>
      </c>
      <c r="D34" s="139"/>
      <c r="E34" s="139"/>
      <c r="F34" s="139"/>
      <c r="G34" s="139"/>
      <c r="H34" s="139"/>
      <c r="I34" s="139"/>
      <c r="J34" s="139"/>
      <c r="K34" s="139"/>
      <c r="L34" s="139">
        <v>102</v>
      </c>
      <c r="M34" s="139"/>
      <c r="N34" s="139"/>
      <c r="O34" s="139"/>
      <c r="P34" s="139"/>
      <c r="Q34" s="139"/>
      <c r="R34" s="139">
        <v>130.9</v>
      </c>
      <c r="S34" s="139">
        <v>94.1</v>
      </c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>
        <f t="shared" si="1"/>
        <v>327</v>
      </c>
      <c r="AH34" s="139">
        <f t="shared" si="6"/>
        <v>48.5</v>
      </c>
      <c r="AJ34" s="141"/>
    </row>
    <row r="35" spans="1:36" s="140" customFormat="1" ht="15.75">
      <c r="A35" s="137" t="s">
        <v>1</v>
      </c>
      <c r="B35" s="138"/>
      <c r="C35" s="138">
        <v>420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>
        <v>351.5</v>
      </c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>
        <f t="shared" si="1"/>
        <v>351.5</v>
      </c>
      <c r="AH35" s="139">
        <f t="shared" si="6"/>
        <v>68.5</v>
      </c>
      <c r="AJ35" s="141"/>
    </row>
    <row r="36" spans="1:36" s="140" customFormat="1" ht="15.75">
      <c r="A36" s="137" t="s">
        <v>2</v>
      </c>
      <c r="B36" s="151">
        <v>4.3</v>
      </c>
      <c r="C36" s="138">
        <v>73.9</v>
      </c>
      <c r="D36" s="139"/>
      <c r="E36" s="139"/>
      <c r="F36" s="139"/>
      <c r="G36" s="139"/>
      <c r="H36" s="139">
        <v>7</v>
      </c>
      <c r="I36" s="139"/>
      <c r="J36" s="139"/>
      <c r="K36" s="139"/>
      <c r="L36" s="139">
        <v>0.8</v>
      </c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>
        <f t="shared" si="1"/>
        <v>7.8</v>
      </c>
      <c r="AH36" s="139">
        <f t="shared" si="6"/>
        <v>70.4</v>
      </c>
      <c r="AJ36" s="141"/>
    </row>
    <row r="37" spans="1:36" s="140" customFormat="1" ht="15.75">
      <c r="A37" s="137" t="s">
        <v>16</v>
      </c>
      <c r="B37" s="138">
        <v>1713.7</v>
      </c>
      <c r="C37" s="138">
        <v>0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>
        <v>494.9</v>
      </c>
      <c r="Q37" s="139"/>
      <c r="R37" s="139"/>
      <c r="S37" s="139"/>
      <c r="T37" s="139">
        <v>450.8</v>
      </c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>
        <f t="shared" si="1"/>
        <v>945.7</v>
      </c>
      <c r="AH37" s="139">
        <f t="shared" si="6"/>
        <v>768</v>
      </c>
      <c r="AJ37" s="141"/>
    </row>
    <row r="38" spans="1:36" s="140" customFormat="1" ht="15.75" hidden="1">
      <c r="A38" s="137" t="s">
        <v>15</v>
      </c>
      <c r="B38" s="138"/>
      <c r="C38" s="138">
        <v>0</v>
      </c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>
        <f t="shared" si="1"/>
        <v>0</v>
      </c>
      <c r="AH38" s="139">
        <f t="shared" si="6"/>
        <v>0</v>
      </c>
      <c r="AJ38" s="141"/>
    </row>
    <row r="39" spans="1:36" s="140" customFormat="1" ht="15.75">
      <c r="A39" s="137" t="s">
        <v>23</v>
      </c>
      <c r="B39" s="138">
        <f aca="true" t="shared" si="7" ref="B39:AE39">B33-B34-B36-B38-B37-B35</f>
        <v>214.20000000000027</v>
      </c>
      <c r="C39" s="138">
        <v>112.20000000000016</v>
      </c>
      <c r="D39" s="139">
        <f t="shared" si="7"/>
        <v>0</v>
      </c>
      <c r="E39" s="139">
        <f t="shared" si="7"/>
        <v>0</v>
      </c>
      <c r="F39" s="139">
        <f t="shared" si="7"/>
        <v>0</v>
      </c>
      <c r="G39" s="139">
        <f t="shared" si="7"/>
        <v>0</v>
      </c>
      <c r="H39" s="139">
        <f>H33-H34-H36-H38-H37-H35</f>
        <v>0.2999999999999998</v>
      </c>
      <c r="I39" s="139">
        <f t="shared" si="7"/>
        <v>0</v>
      </c>
      <c r="J39" s="139">
        <f t="shared" si="7"/>
        <v>0</v>
      </c>
      <c r="K39" s="139">
        <f t="shared" si="7"/>
        <v>0</v>
      </c>
      <c r="L39" s="139">
        <f t="shared" si="7"/>
        <v>2.2</v>
      </c>
      <c r="M39" s="139">
        <f t="shared" si="7"/>
        <v>0</v>
      </c>
      <c r="N39" s="139">
        <f t="shared" si="7"/>
        <v>0</v>
      </c>
      <c r="O39" s="139">
        <f t="shared" si="7"/>
        <v>0</v>
      </c>
      <c r="P39" s="139">
        <f t="shared" si="7"/>
        <v>0.30000000000001137</v>
      </c>
      <c r="Q39" s="139">
        <f t="shared" si="7"/>
        <v>0</v>
      </c>
      <c r="R39" s="139">
        <f t="shared" si="7"/>
        <v>0</v>
      </c>
      <c r="S39" s="139">
        <f t="shared" si="7"/>
        <v>40</v>
      </c>
      <c r="T39" s="139">
        <f t="shared" si="7"/>
        <v>0</v>
      </c>
      <c r="U39" s="139">
        <f t="shared" si="7"/>
        <v>70</v>
      </c>
      <c r="V39" s="139">
        <f t="shared" si="7"/>
        <v>0</v>
      </c>
      <c r="W39" s="139">
        <f t="shared" si="7"/>
        <v>0</v>
      </c>
      <c r="X39" s="139">
        <f t="shared" si="7"/>
        <v>0</v>
      </c>
      <c r="Y39" s="139">
        <f t="shared" si="7"/>
        <v>0</v>
      </c>
      <c r="Z39" s="139">
        <f t="shared" si="7"/>
        <v>0</v>
      </c>
      <c r="AA39" s="139">
        <f t="shared" si="7"/>
        <v>0</v>
      </c>
      <c r="AB39" s="139">
        <f t="shared" si="7"/>
        <v>0</v>
      </c>
      <c r="AC39" s="139">
        <f t="shared" si="7"/>
        <v>0</v>
      </c>
      <c r="AD39" s="139">
        <f t="shared" si="7"/>
        <v>0</v>
      </c>
      <c r="AE39" s="139">
        <f t="shared" si="7"/>
        <v>0</v>
      </c>
      <c r="AF39" s="139"/>
      <c r="AG39" s="139">
        <f t="shared" si="1"/>
        <v>112.80000000000001</v>
      </c>
      <c r="AH39" s="139">
        <f>AH33-AH34-AH36-AH38-AH35-AH37</f>
        <v>213.60000000000014</v>
      </c>
      <c r="AJ39" s="141"/>
    </row>
    <row r="40" spans="1:36" s="140" customFormat="1" ht="15" customHeight="1">
      <c r="A40" s="143" t="s">
        <v>29</v>
      </c>
      <c r="B40" s="138">
        <f>1375.3+33.6</f>
        <v>1408.8999999999999</v>
      </c>
      <c r="C40" s="138">
        <v>326.4000000000003</v>
      </c>
      <c r="D40" s="139"/>
      <c r="E40" s="139"/>
      <c r="F40" s="139"/>
      <c r="G40" s="139">
        <v>10.5</v>
      </c>
      <c r="H40" s="139"/>
      <c r="I40" s="139"/>
      <c r="J40" s="139"/>
      <c r="K40" s="139">
        <v>475.1</v>
      </c>
      <c r="L40" s="139"/>
      <c r="M40" s="139"/>
      <c r="N40" s="139"/>
      <c r="O40" s="139"/>
      <c r="P40" s="139"/>
      <c r="Q40" s="139"/>
      <c r="R40" s="139">
        <v>926.2</v>
      </c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>
        <f t="shared" si="1"/>
        <v>1411.8000000000002</v>
      </c>
      <c r="AH40" s="139">
        <f aca="true" t="shared" si="8" ref="AH40:AH45">B40+C40-AG40</f>
        <v>323.5</v>
      </c>
      <c r="AJ40" s="141"/>
    </row>
    <row r="41" spans="1:36" s="140" customFormat="1" ht="15.75">
      <c r="A41" s="137" t="s">
        <v>5</v>
      </c>
      <c r="B41" s="138">
        <v>1322.6</v>
      </c>
      <c r="C41" s="138">
        <v>152.1999999999996</v>
      </c>
      <c r="D41" s="139"/>
      <c r="E41" s="139"/>
      <c r="F41" s="139"/>
      <c r="G41" s="139"/>
      <c r="H41" s="139"/>
      <c r="I41" s="139"/>
      <c r="J41" s="139"/>
      <c r="K41" s="139">
        <v>449.3</v>
      </c>
      <c r="L41" s="139"/>
      <c r="M41" s="139"/>
      <c r="N41" s="139"/>
      <c r="O41" s="139"/>
      <c r="P41" s="139"/>
      <c r="Q41" s="139"/>
      <c r="R41" s="139">
        <v>922.6</v>
      </c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>
        <f t="shared" si="1"/>
        <v>1371.9</v>
      </c>
      <c r="AH41" s="139">
        <f t="shared" si="8"/>
        <v>102.89999999999941</v>
      </c>
      <c r="AI41" s="141"/>
      <c r="AJ41" s="141"/>
    </row>
    <row r="42" spans="1:36" s="140" customFormat="1" ht="15.75">
      <c r="A42" s="137" t="s">
        <v>3</v>
      </c>
      <c r="B42" s="138">
        <v>0</v>
      </c>
      <c r="C42" s="138">
        <v>0.9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>
        <f t="shared" si="1"/>
        <v>0</v>
      </c>
      <c r="AH42" s="139">
        <f t="shared" si="8"/>
        <v>0.9</v>
      </c>
      <c r="AJ42" s="141"/>
    </row>
    <row r="43" spans="1:36" s="140" customFormat="1" ht="15.75">
      <c r="A43" s="137" t="s">
        <v>1</v>
      </c>
      <c r="B43" s="138">
        <v>10.8</v>
      </c>
      <c r="C43" s="138">
        <v>3.8000000000000025</v>
      </c>
      <c r="D43" s="139"/>
      <c r="E43" s="139"/>
      <c r="F43" s="139"/>
      <c r="G43" s="139"/>
      <c r="H43" s="139"/>
      <c r="I43" s="139"/>
      <c r="J43" s="139"/>
      <c r="K43" s="139">
        <v>10.6</v>
      </c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>
        <f t="shared" si="1"/>
        <v>10.6</v>
      </c>
      <c r="AH43" s="139">
        <f t="shared" si="8"/>
        <v>4.0000000000000036</v>
      </c>
      <c r="AJ43" s="141"/>
    </row>
    <row r="44" spans="1:36" s="140" customFormat="1" ht="15.75">
      <c r="A44" s="137" t="s">
        <v>2</v>
      </c>
      <c r="B44" s="138">
        <v>8.3</v>
      </c>
      <c r="C44" s="138">
        <v>160.50000000000006</v>
      </c>
      <c r="D44" s="139"/>
      <c r="E44" s="139"/>
      <c r="F44" s="139"/>
      <c r="G44" s="139">
        <v>3.9</v>
      </c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>
        <f t="shared" si="1"/>
        <v>3.9</v>
      </c>
      <c r="AH44" s="139">
        <f t="shared" si="8"/>
        <v>164.90000000000006</v>
      </c>
      <c r="AJ44" s="141"/>
    </row>
    <row r="45" spans="1:36" s="140" customFormat="1" ht="15.75" hidden="1">
      <c r="A45" s="137" t="s">
        <v>15</v>
      </c>
      <c r="B45" s="138"/>
      <c r="C45" s="138">
        <v>0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>
        <f t="shared" si="1"/>
        <v>0</v>
      </c>
      <c r="AH45" s="139">
        <f t="shared" si="8"/>
        <v>0</v>
      </c>
      <c r="AJ45" s="141"/>
    </row>
    <row r="46" spans="1:36" s="140" customFormat="1" ht="15.75">
      <c r="A46" s="137" t="s">
        <v>23</v>
      </c>
      <c r="B46" s="138">
        <f aca="true" t="shared" si="9" ref="B46:AE46">B40-B41-B42-B43-B44-B45</f>
        <v>67.19999999999996</v>
      </c>
      <c r="C46" s="138">
        <v>9.000000000000654</v>
      </c>
      <c r="D46" s="139">
        <f t="shared" si="9"/>
        <v>0</v>
      </c>
      <c r="E46" s="139">
        <f t="shared" si="9"/>
        <v>0</v>
      </c>
      <c r="F46" s="139">
        <f t="shared" si="9"/>
        <v>0</v>
      </c>
      <c r="G46" s="139">
        <f t="shared" si="9"/>
        <v>6.6</v>
      </c>
      <c r="H46" s="139">
        <f>H40-H41-H42-H43-H44-H45</f>
        <v>0</v>
      </c>
      <c r="I46" s="139">
        <f t="shared" si="9"/>
        <v>0</v>
      </c>
      <c r="J46" s="139">
        <f t="shared" si="9"/>
        <v>0</v>
      </c>
      <c r="K46" s="139">
        <f t="shared" si="9"/>
        <v>15.200000000000012</v>
      </c>
      <c r="L46" s="139">
        <f t="shared" si="9"/>
        <v>0</v>
      </c>
      <c r="M46" s="139">
        <f t="shared" si="9"/>
        <v>0</v>
      </c>
      <c r="N46" s="139">
        <f t="shared" si="9"/>
        <v>0</v>
      </c>
      <c r="O46" s="139">
        <f t="shared" si="9"/>
        <v>0</v>
      </c>
      <c r="P46" s="139">
        <f t="shared" si="9"/>
        <v>0</v>
      </c>
      <c r="Q46" s="139">
        <f t="shared" si="9"/>
        <v>0</v>
      </c>
      <c r="R46" s="139">
        <f t="shared" si="9"/>
        <v>3.6000000000000227</v>
      </c>
      <c r="S46" s="139">
        <f t="shared" si="9"/>
        <v>0</v>
      </c>
      <c r="T46" s="139">
        <f t="shared" si="9"/>
        <v>0</v>
      </c>
      <c r="U46" s="139">
        <f t="shared" si="9"/>
        <v>0</v>
      </c>
      <c r="V46" s="139">
        <f t="shared" si="9"/>
        <v>0</v>
      </c>
      <c r="W46" s="139">
        <f t="shared" si="9"/>
        <v>0</v>
      </c>
      <c r="X46" s="139">
        <f t="shared" si="9"/>
        <v>0</v>
      </c>
      <c r="Y46" s="139">
        <f t="shared" si="9"/>
        <v>0</v>
      </c>
      <c r="Z46" s="139">
        <f t="shared" si="9"/>
        <v>0</v>
      </c>
      <c r="AA46" s="139">
        <f t="shared" si="9"/>
        <v>0</v>
      </c>
      <c r="AB46" s="139">
        <f t="shared" si="9"/>
        <v>0</v>
      </c>
      <c r="AC46" s="139">
        <f t="shared" si="9"/>
        <v>0</v>
      </c>
      <c r="AD46" s="139">
        <f t="shared" si="9"/>
        <v>0</v>
      </c>
      <c r="AE46" s="139">
        <f t="shared" si="9"/>
        <v>0</v>
      </c>
      <c r="AF46" s="139"/>
      <c r="AG46" s="139">
        <f t="shared" si="1"/>
        <v>25.400000000000034</v>
      </c>
      <c r="AH46" s="139">
        <f>AH40-AH41-AH42-AH43-AH44-AH45</f>
        <v>50.80000000000052</v>
      </c>
      <c r="AJ46" s="141"/>
    </row>
    <row r="47" spans="1:36" s="140" customFormat="1" ht="17.25" customHeight="1">
      <c r="A47" s="143" t="s">
        <v>43</v>
      </c>
      <c r="B47" s="142">
        <f>8722.9+7.6-1900</f>
        <v>6830.5</v>
      </c>
      <c r="C47" s="138">
        <v>2101.7000000000016</v>
      </c>
      <c r="D47" s="139"/>
      <c r="E47" s="152"/>
      <c r="F47" s="152">
        <v>55.4</v>
      </c>
      <c r="G47" s="152">
        <v>2219.8</v>
      </c>
      <c r="H47" s="152">
        <v>21.1</v>
      </c>
      <c r="I47" s="152">
        <v>622.2</v>
      </c>
      <c r="J47" s="152">
        <v>60.7</v>
      </c>
      <c r="K47" s="152"/>
      <c r="L47" s="152"/>
      <c r="M47" s="152">
        <v>180.9</v>
      </c>
      <c r="N47" s="152">
        <v>79.2</v>
      </c>
      <c r="O47" s="152">
        <v>0.6</v>
      </c>
      <c r="P47" s="152">
        <v>1710.9</v>
      </c>
      <c r="Q47" s="152">
        <v>116.5</v>
      </c>
      <c r="R47" s="152">
        <v>38.5</v>
      </c>
      <c r="S47" s="152">
        <v>30.7</v>
      </c>
      <c r="T47" s="152">
        <v>610.3</v>
      </c>
      <c r="U47" s="152">
        <v>196.5</v>
      </c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39">
        <f t="shared" si="1"/>
        <v>5943.299999999999</v>
      </c>
      <c r="AH47" s="139">
        <f>B47+C47-AG47</f>
        <v>2988.9000000000015</v>
      </c>
      <c r="AJ47" s="141"/>
    </row>
    <row r="48" spans="1:36" s="140" customFormat="1" ht="15.75">
      <c r="A48" s="137" t="s">
        <v>5</v>
      </c>
      <c r="B48" s="138">
        <v>54.4</v>
      </c>
      <c r="C48" s="138">
        <v>97.40000000000003</v>
      </c>
      <c r="D48" s="139"/>
      <c r="E48" s="152"/>
      <c r="F48" s="152"/>
      <c r="G48" s="152"/>
      <c r="H48" s="152"/>
      <c r="I48" s="152"/>
      <c r="J48" s="152"/>
      <c r="K48" s="152"/>
      <c r="L48" s="152"/>
      <c r="M48" s="152">
        <v>27</v>
      </c>
      <c r="N48" s="152"/>
      <c r="O48" s="152"/>
      <c r="P48" s="152"/>
      <c r="Q48" s="152"/>
      <c r="R48" s="152"/>
      <c r="S48" s="152"/>
      <c r="T48" s="152"/>
      <c r="U48" s="152">
        <v>20.5</v>
      </c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39">
        <f t="shared" si="1"/>
        <v>47.5</v>
      </c>
      <c r="AH48" s="139">
        <f>B48+C48-AG48</f>
        <v>104.30000000000004</v>
      </c>
      <c r="AJ48" s="141"/>
    </row>
    <row r="49" spans="1:36" s="140" customFormat="1" ht="15.75">
      <c r="A49" s="137" t="s">
        <v>16</v>
      </c>
      <c r="B49" s="138">
        <f>7342.7+7.6-1900</f>
        <v>5450.3</v>
      </c>
      <c r="C49" s="138">
        <v>1267.5000000000027</v>
      </c>
      <c r="D49" s="139"/>
      <c r="E49" s="139"/>
      <c r="F49" s="139"/>
      <c r="G49" s="139">
        <v>2219.7</v>
      </c>
      <c r="H49" s="139"/>
      <c r="I49" s="139">
        <v>82.3</v>
      </c>
      <c r="J49" s="139">
        <f>9+44.4</f>
        <v>53.4</v>
      </c>
      <c r="K49" s="139"/>
      <c r="L49" s="139"/>
      <c r="M49" s="139">
        <v>153.9</v>
      </c>
      <c r="N49" s="139">
        <v>45.7</v>
      </c>
      <c r="O49" s="139"/>
      <c r="P49" s="139">
        <v>1710.9</v>
      </c>
      <c r="Q49" s="139">
        <v>42.2</v>
      </c>
      <c r="R49" s="139">
        <v>24.3</v>
      </c>
      <c r="S49" s="139">
        <f>12.9+4.5</f>
        <v>17.4</v>
      </c>
      <c r="T49" s="139">
        <v>70.5</v>
      </c>
      <c r="U49" s="139">
        <v>176</v>
      </c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>
        <f t="shared" si="1"/>
        <v>4596.299999999999</v>
      </c>
      <c r="AH49" s="139">
        <f>B49+C49-AG49</f>
        <v>2121.5000000000036</v>
      </c>
      <c r="AJ49" s="141"/>
    </row>
    <row r="50" spans="1:36" s="140" customFormat="1" ht="30" hidden="1">
      <c r="A50" s="153" t="s">
        <v>34</v>
      </c>
      <c r="B50" s="138"/>
      <c r="C50" s="138">
        <v>0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>
        <f t="shared" si="1"/>
        <v>0</v>
      </c>
      <c r="AH50" s="139">
        <f>B50+C50-AG50</f>
        <v>0</v>
      </c>
      <c r="AJ50" s="141"/>
    </row>
    <row r="51" spans="1:36" s="140" customFormat="1" ht="15.75">
      <c r="A51" s="154" t="s">
        <v>23</v>
      </c>
      <c r="B51" s="138">
        <f aca="true" t="shared" si="10" ref="B51:AE51">B47-B48-B49</f>
        <v>1325.8000000000002</v>
      </c>
      <c r="C51" s="138">
        <v>736.7999999999988</v>
      </c>
      <c r="D51" s="139">
        <f t="shared" si="10"/>
        <v>0</v>
      </c>
      <c r="E51" s="139">
        <f t="shared" si="10"/>
        <v>0</v>
      </c>
      <c r="F51" s="139">
        <f t="shared" si="10"/>
        <v>55.4</v>
      </c>
      <c r="G51" s="139">
        <f t="shared" si="10"/>
        <v>0.1000000000003638</v>
      </c>
      <c r="H51" s="139">
        <f>H47-H48-H49</f>
        <v>21.1</v>
      </c>
      <c r="I51" s="139">
        <f t="shared" si="10"/>
        <v>539.9000000000001</v>
      </c>
      <c r="J51" s="139">
        <f t="shared" si="10"/>
        <v>7.300000000000004</v>
      </c>
      <c r="K51" s="139">
        <f t="shared" si="10"/>
        <v>0</v>
      </c>
      <c r="L51" s="139">
        <f t="shared" si="10"/>
        <v>0</v>
      </c>
      <c r="M51" s="139">
        <f t="shared" si="10"/>
        <v>0</v>
      </c>
      <c r="N51" s="139">
        <f t="shared" si="10"/>
        <v>33.5</v>
      </c>
      <c r="O51" s="139">
        <f t="shared" si="10"/>
        <v>0.6</v>
      </c>
      <c r="P51" s="139">
        <f t="shared" si="10"/>
        <v>0</v>
      </c>
      <c r="Q51" s="139">
        <f t="shared" si="10"/>
        <v>74.3</v>
      </c>
      <c r="R51" s="139">
        <f t="shared" si="10"/>
        <v>14.2</v>
      </c>
      <c r="S51" s="139">
        <f t="shared" si="10"/>
        <v>13.3</v>
      </c>
      <c r="T51" s="139">
        <f t="shared" si="10"/>
        <v>539.8</v>
      </c>
      <c r="U51" s="139">
        <f t="shared" si="10"/>
        <v>0</v>
      </c>
      <c r="V51" s="139">
        <f t="shared" si="10"/>
        <v>0</v>
      </c>
      <c r="W51" s="139">
        <f t="shared" si="10"/>
        <v>0</v>
      </c>
      <c r="X51" s="139">
        <f t="shared" si="10"/>
        <v>0</v>
      </c>
      <c r="Y51" s="139">
        <f t="shared" si="10"/>
        <v>0</v>
      </c>
      <c r="Z51" s="139">
        <f t="shared" si="10"/>
        <v>0</v>
      </c>
      <c r="AA51" s="139">
        <f t="shared" si="10"/>
        <v>0</v>
      </c>
      <c r="AB51" s="139">
        <f t="shared" si="10"/>
        <v>0</v>
      </c>
      <c r="AC51" s="139">
        <f t="shared" si="10"/>
        <v>0</v>
      </c>
      <c r="AD51" s="139">
        <f t="shared" si="10"/>
        <v>0</v>
      </c>
      <c r="AE51" s="139">
        <f t="shared" si="10"/>
        <v>0</v>
      </c>
      <c r="AF51" s="139"/>
      <c r="AG51" s="139">
        <f t="shared" si="1"/>
        <v>1299.5000000000005</v>
      </c>
      <c r="AH51" s="139">
        <f>AH47-AH49-AH48</f>
        <v>763.0999999999977</v>
      </c>
      <c r="AJ51" s="141"/>
    </row>
    <row r="52" spans="1:36" s="140" customFormat="1" ht="15" customHeight="1">
      <c r="A52" s="143" t="s">
        <v>0</v>
      </c>
      <c r="B52" s="138">
        <f>9196.1-140-760+1174-895</f>
        <v>8575.1</v>
      </c>
      <c r="C52" s="138">
        <v>2021.4999999999964</v>
      </c>
      <c r="D52" s="139"/>
      <c r="E52" s="139"/>
      <c r="F52" s="139"/>
      <c r="G52" s="139">
        <v>2164.2</v>
      </c>
      <c r="H52" s="139">
        <v>954.8</v>
      </c>
      <c r="I52" s="139"/>
      <c r="J52" s="139"/>
      <c r="K52" s="139">
        <v>1228.8</v>
      </c>
      <c r="L52" s="139">
        <v>864.1</v>
      </c>
      <c r="M52" s="139">
        <v>150.9</v>
      </c>
      <c r="N52" s="139"/>
      <c r="O52" s="139"/>
      <c r="P52" s="139"/>
      <c r="Q52" s="139">
        <v>537.9</v>
      </c>
      <c r="R52" s="139">
        <v>202.2</v>
      </c>
      <c r="S52" s="139">
        <v>1664.5</v>
      </c>
      <c r="T52" s="139">
        <v>-161</v>
      </c>
      <c r="U52" s="139">
        <v>3.2</v>
      </c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>
        <f t="shared" si="1"/>
        <v>7609.599999999999</v>
      </c>
      <c r="AH52" s="139">
        <f aca="true" t="shared" si="11" ref="AH52:AH59">B52+C52-AG52</f>
        <v>2986.9999999999973</v>
      </c>
      <c r="AJ52" s="141"/>
    </row>
    <row r="53" spans="1:36" s="140" customFormat="1" ht="15" customHeight="1">
      <c r="A53" s="137" t="s">
        <v>2</v>
      </c>
      <c r="B53" s="138">
        <f>1042.3+60</f>
        <v>1102.3</v>
      </c>
      <c r="C53" s="138">
        <v>152.59999999999968</v>
      </c>
      <c r="D53" s="139"/>
      <c r="E53" s="139"/>
      <c r="F53" s="139"/>
      <c r="G53" s="139"/>
      <c r="H53" s="139">
        <v>907.4</v>
      </c>
      <c r="I53" s="139"/>
      <c r="J53" s="139"/>
      <c r="K53" s="139">
        <v>167.5</v>
      </c>
      <c r="L53" s="139"/>
      <c r="M53" s="139">
        <v>105.4</v>
      </c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>
        <f t="shared" si="1"/>
        <v>1180.3000000000002</v>
      </c>
      <c r="AH53" s="139">
        <f t="shared" si="11"/>
        <v>74.59999999999945</v>
      </c>
      <c r="AJ53" s="141"/>
    </row>
    <row r="54" spans="1:36" s="140" customFormat="1" ht="15" customHeight="1">
      <c r="A54" s="143" t="s">
        <v>9</v>
      </c>
      <c r="B54" s="151">
        <v>1962.1</v>
      </c>
      <c r="C54" s="138">
        <v>1210.5</v>
      </c>
      <c r="D54" s="139"/>
      <c r="E54" s="139"/>
      <c r="F54" s="139">
        <v>185.8</v>
      </c>
      <c r="G54" s="139"/>
      <c r="H54" s="139">
        <v>299.1</v>
      </c>
      <c r="I54" s="139"/>
      <c r="J54" s="139"/>
      <c r="K54" s="139"/>
      <c r="L54" s="139"/>
      <c r="M54" s="139">
        <f>484.9</f>
        <v>484.9</v>
      </c>
      <c r="N54" s="139"/>
      <c r="O54" s="139">
        <v>0.1</v>
      </c>
      <c r="P54" s="139">
        <v>137</v>
      </c>
      <c r="Q54" s="139">
        <v>69.6</v>
      </c>
      <c r="R54" s="139"/>
      <c r="S54" s="139">
        <v>800.9</v>
      </c>
      <c r="T54" s="139">
        <v>7.9</v>
      </c>
      <c r="U54" s="139">
        <v>19.1</v>
      </c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>
        <f t="shared" si="1"/>
        <v>2004.4</v>
      </c>
      <c r="AH54" s="139">
        <f t="shared" si="11"/>
        <v>1168.1999999999998</v>
      </c>
      <c r="AI54" s="141"/>
      <c r="AJ54" s="141"/>
    </row>
    <row r="55" spans="1:36" s="140" customFormat="1" ht="15.75">
      <c r="A55" s="137" t="s">
        <v>5</v>
      </c>
      <c r="B55" s="138">
        <f>1314.5-1.8</f>
        <v>1312.7</v>
      </c>
      <c r="C55" s="138">
        <v>223.39999999999986</v>
      </c>
      <c r="D55" s="139"/>
      <c r="E55" s="139"/>
      <c r="F55" s="139"/>
      <c r="G55" s="139"/>
      <c r="H55" s="139">
        <v>100.6</v>
      </c>
      <c r="I55" s="139"/>
      <c r="J55" s="139"/>
      <c r="K55" s="139"/>
      <c r="L55" s="139"/>
      <c r="M55" s="139">
        <f>396.6-0.2</f>
        <v>396.40000000000003</v>
      </c>
      <c r="N55" s="139"/>
      <c r="O55" s="139"/>
      <c r="P55" s="139"/>
      <c r="Q55" s="139">
        <v>1.8</v>
      </c>
      <c r="R55" s="139"/>
      <c r="S55" s="139">
        <v>800.9</v>
      </c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>
        <f t="shared" si="1"/>
        <v>1299.7</v>
      </c>
      <c r="AH55" s="139">
        <f t="shared" si="11"/>
        <v>236.39999999999986</v>
      </c>
      <c r="AI55" s="141"/>
      <c r="AJ55" s="141"/>
    </row>
    <row r="56" spans="1:36" s="140" customFormat="1" ht="15" customHeight="1">
      <c r="A56" s="137" t="s">
        <v>1</v>
      </c>
      <c r="B56" s="138">
        <v>0</v>
      </c>
      <c r="C56" s="138">
        <v>0</v>
      </c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>
        <f t="shared" si="1"/>
        <v>0</v>
      </c>
      <c r="AH56" s="139">
        <f t="shared" si="11"/>
        <v>0</v>
      </c>
      <c r="AI56" s="141"/>
      <c r="AJ56" s="141"/>
    </row>
    <row r="57" spans="1:36" s="140" customFormat="1" ht="15.75">
      <c r="A57" s="137" t="s">
        <v>2</v>
      </c>
      <c r="B57" s="142">
        <f>18.3+1.8+0.3</f>
        <v>20.400000000000002</v>
      </c>
      <c r="C57" s="138">
        <v>239.19999999999993</v>
      </c>
      <c r="D57" s="139"/>
      <c r="E57" s="139"/>
      <c r="F57" s="139"/>
      <c r="G57" s="139"/>
      <c r="H57" s="139"/>
      <c r="I57" s="139"/>
      <c r="J57" s="139"/>
      <c r="K57" s="139"/>
      <c r="L57" s="139"/>
      <c r="M57" s="139">
        <v>70</v>
      </c>
      <c r="N57" s="139"/>
      <c r="O57" s="139">
        <v>0.1</v>
      </c>
      <c r="P57" s="139"/>
      <c r="Q57" s="139"/>
      <c r="R57" s="139"/>
      <c r="S57" s="139"/>
      <c r="T57" s="139">
        <v>0.7</v>
      </c>
      <c r="U57" s="139">
        <v>1.9</v>
      </c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>
        <f t="shared" si="1"/>
        <v>72.7</v>
      </c>
      <c r="AH57" s="139">
        <f t="shared" si="11"/>
        <v>186.89999999999992</v>
      </c>
      <c r="AJ57" s="141"/>
    </row>
    <row r="58" spans="1:36" s="140" customFormat="1" ht="15.75">
      <c r="A58" s="137" t="s">
        <v>16</v>
      </c>
      <c r="B58" s="142">
        <v>7</v>
      </c>
      <c r="C58" s="138">
        <v>55.49999999999999</v>
      </c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>
        <v>8.7</v>
      </c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>
        <f t="shared" si="1"/>
        <v>8.7</v>
      </c>
      <c r="AH58" s="139">
        <f t="shared" si="11"/>
        <v>53.8</v>
      </c>
      <c r="AJ58" s="141"/>
    </row>
    <row r="59" spans="1:36" s="140" customFormat="1" ht="15.75" hidden="1">
      <c r="A59" s="137" t="s">
        <v>15</v>
      </c>
      <c r="B59" s="138"/>
      <c r="C59" s="138">
        <v>0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>
        <f t="shared" si="1"/>
        <v>0</v>
      </c>
      <c r="AH59" s="139">
        <f t="shared" si="11"/>
        <v>0</v>
      </c>
      <c r="AJ59" s="141"/>
    </row>
    <row r="60" spans="1:36" s="140" customFormat="1" ht="15.75">
      <c r="A60" s="137" t="s">
        <v>23</v>
      </c>
      <c r="B60" s="138">
        <f aca="true" t="shared" si="12" ref="B60:AE60">B54-B55-B57-B59-B56-B58</f>
        <v>621.9999999999999</v>
      </c>
      <c r="C60" s="138">
        <v>692.4000000000002</v>
      </c>
      <c r="D60" s="139">
        <f t="shared" si="12"/>
        <v>0</v>
      </c>
      <c r="E60" s="139">
        <f t="shared" si="12"/>
        <v>0</v>
      </c>
      <c r="F60" s="139">
        <f t="shared" si="12"/>
        <v>185.8</v>
      </c>
      <c r="G60" s="139">
        <f t="shared" si="12"/>
        <v>0</v>
      </c>
      <c r="H60" s="139">
        <f>H54-H55-H57-H59-H56-H58</f>
        <v>198.50000000000003</v>
      </c>
      <c r="I60" s="139">
        <f t="shared" si="12"/>
        <v>0</v>
      </c>
      <c r="J60" s="139">
        <f t="shared" si="12"/>
        <v>0</v>
      </c>
      <c r="K60" s="139">
        <f t="shared" si="12"/>
        <v>0</v>
      </c>
      <c r="L60" s="139">
        <f t="shared" si="12"/>
        <v>0</v>
      </c>
      <c r="M60" s="139">
        <f t="shared" si="12"/>
        <v>18.499999999999943</v>
      </c>
      <c r="N60" s="139">
        <f t="shared" si="12"/>
        <v>0</v>
      </c>
      <c r="O60" s="139">
        <f t="shared" si="12"/>
        <v>0</v>
      </c>
      <c r="P60" s="139">
        <f t="shared" si="12"/>
        <v>137</v>
      </c>
      <c r="Q60" s="139">
        <f t="shared" si="12"/>
        <v>59.099999999999994</v>
      </c>
      <c r="R60" s="139">
        <f t="shared" si="12"/>
        <v>0</v>
      </c>
      <c r="S60" s="139">
        <f t="shared" si="12"/>
        <v>0</v>
      </c>
      <c r="T60" s="139">
        <f t="shared" si="12"/>
        <v>7.2</v>
      </c>
      <c r="U60" s="139">
        <f t="shared" si="12"/>
        <v>17.200000000000003</v>
      </c>
      <c r="V60" s="139">
        <f t="shared" si="12"/>
        <v>0</v>
      </c>
      <c r="W60" s="139">
        <f t="shared" si="12"/>
        <v>0</v>
      </c>
      <c r="X60" s="139">
        <f t="shared" si="12"/>
        <v>0</v>
      </c>
      <c r="Y60" s="139">
        <f t="shared" si="12"/>
        <v>0</v>
      </c>
      <c r="Z60" s="139">
        <f t="shared" si="12"/>
        <v>0</v>
      </c>
      <c r="AA60" s="139">
        <f t="shared" si="12"/>
        <v>0</v>
      </c>
      <c r="AB60" s="139">
        <f t="shared" si="12"/>
        <v>0</v>
      </c>
      <c r="AC60" s="139">
        <f t="shared" si="12"/>
        <v>0</v>
      </c>
      <c r="AD60" s="139">
        <f t="shared" si="12"/>
        <v>0</v>
      </c>
      <c r="AE60" s="139">
        <f t="shared" si="12"/>
        <v>0</v>
      </c>
      <c r="AF60" s="139"/>
      <c r="AG60" s="139">
        <f>AG54-AG55-AG57-AG59-AG56-AG58</f>
        <v>623.3</v>
      </c>
      <c r="AH60" s="139">
        <f>AH54-AH55-AH57-AH59-AH56-AH58</f>
        <v>691.1000000000001</v>
      </c>
      <c r="AJ60" s="141"/>
    </row>
    <row r="61" spans="1:36" s="140" customFormat="1" ht="15" customHeight="1">
      <c r="A61" s="143" t="s">
        <v>10</v>
      </c>
      <c r="B61" s="138">
        <v>89</v>
      </c>
      <c r="C61" s="138">
        <v>33.69999999999999</v>
      </c>
      <c r="D61" s="139"/>
      <c r="E61" s="139"/>
      <c r="F61" s="139"/>
      <c r="G61" s="139">
        <v>16.2</v>
      </c>
      <c r="H61" s="139"/>
      <c r="I61" s="139">
        <v>27.7</v>
      </c>
      <c r="J61" s="139">
        <v>2</v>
      </c>
      <c r="K61" s="139">
        <v>2</v>
      </c>
      <c r="L61" s="139"/>
      <c r="M61" s="139"/>
      <c r="N61" s="139">
        <v>2</v>
      </c>
      <c r="O61" s="139"/>
      <c r="P61" s="139"/>
      <c r="Q61" s="139"/>
      <c r="R61" s="139">
        <v>5.5</v>
      </c>
      <c r="S61" s="139"/>
      <c r="T61" s="139">
        <v>4</v>
      </c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>
        <f aca="true" t="shared" si="13" ref="AG61:AG92">SUM(D61:AE61)</f>
        <v>59.4</v>
      </c>
      <c r="AH61" s="139">
        <f aca="true" t="shared" si="14" ref="AH61:AH67">B61+C61-AG61</f>
        <v>63.29999999999999</v>
      </c>
      <c r="AJ61" s="141"/>
    </row>
    <row r="62" spans="1:36" s="140" customFormat="1" ht="15" customHeight="1">
      <c r="A62" s="143" t="s">
        <v>11</v>
      </c>
      <c r="B62" s="138">
        <f>5271.3-917.2</f>
        <v>4354.1</v>
      </c>
      <c r="C62" s="138">
        <v>5557</v>
      </c>
      <c r="D62" s="139"/>
      <c r="E62" s="139">
        <v>7.4</v>
      </c>
      <c r="F62" s="139"/>
      <c r="G62" s="139">
        <v>82.9</v>
      </c>
      <c r="H62" s="139"/>
      <c r="I62" s="139"/>
      <c r="J62" s="139"/>
      <c r="K62" s="139">
        <v>1256.8</v>
      </c>
      <c r="L62" s="139">
        <v>170.3</v>
      </c>
      <c r="M62" s="139"/>
      <c r="N62" s="139">
        <v>0.1</v>
      </c>
      <c r="O62" s="139"/>
      <c r="P62" s="139"/>
      <c r="Q62" s="139">
        <v>371.9</v>
      </c>
      <c r="R62" s="139"/>
      <c r="S62" s="139">
        <v>2726.2</v>
      </c>
      <c r="T62" s="139">
        <v>63</v>
      </c>
      <c r="U62" s="139">
        <v>78.1</v>
      </c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>
        <f t="shared" si="13"/>
        <v>4756.7</v>
      </c>
      <c r="AH62" s="139">
        <f t="shared" si="14"/>
        <v>5154.400000000001</v>
      </c>
      <c r="AJ62" s="141"/>
    </row>
    <row r="63" spans="1:36" s="140" customFormat="1" ht="15.75">
      <c r="A63" s="137" t="s">
        <v>5</v>
      </c>
      <c r="B63" s="138">
        <f>2779.2-4.5</f>
        <v>2774.7</v>
      </c>
      <c r="C63" s="138">
        <v>1372</v>
      </c>
      <c r="D63" s="139"/>
      <c r="E63" s="139">
        <v>7.4</v>
      </c>
      <c r="F63" s="139"/>
      <c r="G63" s="139"/>
      <c r="H63" s="139"/>
      <c r="I63" s="139"/>
      <c r="J63" s="139"/>
      <c r="K63" s="139">
        <f>1036.6-0.2</f>
        <v>1036.3999999999999</v>
      </c>
      <c r="L63" s="139"/>
      <c r="M63" s="139"/>
      <c r="N63" s="139"/>
      <c r="O63" s="139"/>
      <c r="P63" s="139"/>
      <c r="Q63" s="139"/>
      <c r="R63" s="139"/>
      <c r="S63" s="139">
        <v>2347.5</v>
      </c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>
        <f t="shared" si="13"/>
        <v>3391.3</v>
      </c>
      <c r="AH63" s="139">
        <f t="shared" si="14"/>
        <v>755.3999999999996</v>
      </c>
      <c r="AI63" s="155"/>
      <c r="AJ63" s="141"/>
    </row>
    <row r="64" spans="1:36" s="140" customFormat="1" ht="15.75" hidden="1">
      <c r="A64" s="137" t="s">
        <v>3</v>
      </c>
      <c r="B64" s="138"/>
      <c r="C64" s="138">
        <v>0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>
        <f t="shared" si="13"/>
        <v>0</v>
      </c>
      <c r="AH64" s="139">
        <f t="shared" si="14"/>
        <v>0</v>
      </c>
      <c r="AI64" s="141"/>
      <c r="AJ64" s="141"/>
    </row>
    <row r="65" spans="1:36" s="140" customFormat="1" ht="15.75">
      <c r="A65" s="137" t="s">
        <v>1</v>
      </c>
      <c r="B65" s="138">
        <v>288.9</v>
      </c>
      <c r="C65" s="138">
        <v>605.3000000000001</v>
      </c>
      <c r="D65" s="139"/>
      <c r="E65" s="139"/>
      <c r="F65" s="139"/>
      <c r="G65" s="139">
        <f>43.7+0.4</f>
        <v>44.1</v>
      </c>
      <c r="H65" s="139"/>
      <c r="I65" s="139"/>
      <c r="J65" s="139"/>
      <c r="K65" s="139">
        <v>5.9</v>
      </c>
      <c r="L65" s="139"/>
      <c r="M65" s="139"/>
      <c r="N65" s="139"/>
      <c r="O65" s="139"/>
      <c r="P65" s="139"/>
      <c r="Q65" s="139">
        <v>35.5</v>
      </c>
      <c r="R65" s="139"/>
      <c r="S65" s="139">
        <v>6.2</v>
      </c>
      <c r="T65" s="139"/>
      <c r="U65" s="139">
        <v>57</v>
      </c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>
        <f t="shared" si="13"/>
        <v>148.7</v>
      </c>
      <c r="AH65" s="139">
        <f t="shared" si="14"/>
        <v>745.5</v>
      </c>
      <c r="AI65" s="141"/>
      <c r="AJ65" s="14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>
        <v>2.9</v>
      </c>
      <c r="R66" s="72"/>
      <c r="S66" s="72"/>
      <c r="T66" s="72"/>
      <c r="U66" s="72">
        <v>7.3</v>
      </c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31.2</v>
      </c>
      <c r="AH66" s="72">
        <f t="shared" si="14"/>
        <v>104.69999999999997</v>
      </c>
      <c r="AJ66" s="21"/>
    </row>
    <row r="67" spans="1:36" s="18" customFormat="1" ht="15.75">
      <c r="A67" s="98" t="s">
        <v>16</v>
      </c>
      <c r="B67" s="97">
        <f>308-60.3</f>
        <v>247.7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245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567.7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1005.8000000000005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88.5</v>
      </c>
      <c r="R68" s="72">
        <f t="shared" si="15"/>
        <v>0</v>
      </c>
      <c r="S68" s="72">
        <f t="shared" si="15"/>
        <v>372.49999999999983</v>
      </c>
      <c r="T68" s="72">
        <f t="shared" si="15"/>
        <v>63</v>
      </c>
      <c r="U68" s="72">
        <f t="shared" si="15"/>
        <v>13.799999999999997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940.4999999999999</v>
      </c>
      <c r="AH68" s="72">
        <f>AH62-AH63-AH66-AH67-AH65-AH64</f>
        <v>2981.1000000000013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>
        <v>754.9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1743</v>
      </c>
      <c r="AH69" s="89">
        <f aca="true" t="shared" si="16" ref="AH69:AH92">B69+C69-AG69</f>
        <v>43.700000000000045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>
        <v>77.7</v>
      </c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2012</v>
      </c>
      <c r="AH71" s="89">
        <f t="shared" si="16"/>
        <v>457.4000000000001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>
        <v>26.3</v>
      </c>
      <c r="Q72" s="72"/>
      <c r="R72" s="72">
        <v>161.6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643.5346199999999</v>
      </c>
      <c r="AH72" s="89">
        <f t="shared" si="16"/>
        <v>3018.7653800000003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>
        <v>7.7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10.1</v>
      </c>
      <c r="AH75" s="89">
        <f t="shared" si="16"/>
        <v>121.6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>
        <v>167.1</v>
      </c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330.3</v>
      </c>
      <c r="AH76" s="89">
        <f t="shared" si="16"/>
        <v>43.799999999999955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>
        <v>114.7</v>
      </c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198.4</v>
      </c>
      <c r="AH77" s="89">
        <f t="shared" si="16"/>
        <v>16.899999999999977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9332.9+960+3726+895</f>
        <v>14913.9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>
        <v>2068.4</v>
      </c>
      <c r="Q89" s="72">
        <v>886.3</v>
      </c>
      <c r="R89" s="72">
        <v>1119.7</v>
      </c>
      <c r="S89" s="72">
        <v>4088.5</v>
      </c>
      <c r="T89" s="72"/>
      <c r="U89" s="72">
        <v>381.3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15420.7</v>
      </c>
      <c r="AH89" s="72">
        <f t="shared" si="16"/>
        <v>828.5000000000091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>
        <v>1886.8</v>
      </c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11.7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>
        <v>-14608.8</v>
      </c>
      <c r="U92" s="72"/>
      <c r="V92" s="72">
        <v>14620.5</v>
      </c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7003.500000000001</v>
      </c>
      <c r="AH92" s="72">
        <f t="shared" si="16"/>
        <v>0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219183.89999999997</v>
      </c>
      <c r="C94" s="136">
        <f t="shared" si="17"/>
        <v>79954.2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5695.3</v>
      </c>
      <c r="Q94" s="91">
        <f t="shared" si="17"/>
        <v>4019</v>
      </c>
      <c r="R94" s="91">
        <f t="shared" si="17"/>
        <v>4339.4</v>
      </c>
      <c r="S94" s="91">
        <f t="shared" si="17"/>
        <v>47823.69999999999</v>
      </c>
      <c r="T94" s="91">
        <f t="shared" si="17"/>
        <v>15705.400000000001</v>
      </c>
      <c r="U94" s="91">
        <f t="shared" si="17"/>
        <v>9906.7</v>
      </c>
      <c r="V94" s="91">
        <f t="shared" si="17"/>
        <v>16507.3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231911.67161999992</v>
      </c>
      <c r="AH94" s="91">
        <f>AH10+AH15+AH24+AH33+AH47+AH52+AH54+AH61+AH62+AH69+AH71+AH72+AH76+AH81+AH82+AH83+AH88+AH89+AH90+AH91+AH70+AH40+AH92</f>
        <v>67226.42838000007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360</v>
      </c>
      <c r="Q95" s="72">
        <f t="shared" si="18"/>
        <v>1.8</v>
      </c>
      <c r="R95" s="72">
        <f t="shared" si="18"/>
        <v>1053.5</v>
      </c>
      <c r="S95" s="72">
        <f t="shared" si="18"/>
        <v>31099.600000000002</v>
      </c>
      <c r="T95" s="72">
        <f t="shared" si="18"/>
        <v>21507.2</v>
      </c>
      <c r="U95" s="72">
        <f t="shared" si="18"/>
        <v>7990.9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137879.30000000002</v>
      </c>
      <c r="AH95" s="72">
        <f>B95+C95-AG95</f>
        <v>17228.55999999997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8</v>
      </c>
      <c r="Q96" s="72">
        <f t="shared" si="19"/>
        <v>33.3</v>
      </c>
      <c r="R96" s="72">
        <f t="shared" si="19"/>
        <v>15</v>
      </c>
      <c r="S96" s="72">
        <f t="shared" si="19"/>
        <v>11.6</v>
      </c>
      <c r="T96" s="72">
        <f t="shared" si="19"/>
        <v>52</v>
      </c>
      <c r="U96" s="72">
        <f t="shared" si="19"/>
        <v>9.4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3090.3346199999996</v>
      </c>
      <c r="AH96" s="72">
        <f>B96+C96-AG96</f>
        <v>8923.865379999997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11.8</v>
      </c>
      <c r="Q98" s="72">
        <f t="shared" si="21"/>
        <v>98.2</v>
      </c>
      <c r="R98" s="72">
        <f t="shared" si="21"/>
        <v>271.9</v>
      </c>
      <c r="S98" s="72">
        <f t="shared" si="21"/>
        <v>6.2</v>
      </c>
      <c r="T98" s="72">
        <f t="shared" si="21"/>
        <v>339.3</v>
      </c>
      <c r="U98" s="72">
        <f t="shared" si="21"/>
        <v>409.7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3480.2999999999997</v>
      </c>
      <c r="AH98" s="72">
        <f>B98+C98-AG98</f>
        <v>2604.9999999999995</v>
      </c>
    </row>
    <row r="99" spans="1:34" s="18" customFormat="1" ht="15.75">
      <c r="A99" s="98" t="s">
        <v>16</v>
      </c>
      <c r="B99" s="97">
        <f>B21+B30+B49+B37+B58+B13+B75+B67</f>
        <v>8615.4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2205.8</v>
      </c>
      <c r="Q99" s="72">
        <f t="shared" si="22"/>
        <v>295.9</v>
      </c>
      <c r="R99" s="72">
        <f t="shared" si="22"/>
        <v>285.59999999999997</v>
      </c>
      <c r="S99" s="72">
        <f t="shared" si="22"/>
        <v>354.5</v>
      </c>
      <c r="T99" s="72">
        <f t="shared" si="22"/>
        <v>521.3</v>
      </c>
      <c r="U99" s="72">
        <f t="shared" si="22"/>
        <v>289.2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7132.4</v>
      </c>
      <c r="AH99" s="72">
        <f>B99+C99-AG99</f>
        <v>4246.900000000003</v>
      </c>
    </row>
    <row r="100" spans="1:34" ht="12.75">
      <c r="A100" s="1" t="s">
        <v>35</v>
      </c>
      <c r="B100" s="2">
        <f>B94-B95-B96-B97-B98-B99</f>
        <v>81977.59999999999</v>
      </c>
      <c r="C100" s="2">
        <f aca="true" t="shared" si="24" ref="C100:AE100">C94-C95-C96-C97-C98-C99</f>
        <v>32558.240000000005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3109.7</v>
      </c>
      <c r="Q100" s="84">
        <f t="shared" si="24"/>
        <v>3589.7999999999997</v>
      </c>
      <c r="R100" s="84">
        <f t="shared" si="24"/>
        <v>2713.3999999999996</v>
      </c>
      <c r="S100" s="84">
        <f t="shared" si="24"/>
        <v>16351.799999999988</v>
      </c>
      <c r="T100" s="84">
        <f t="shared" si="24"/>
        <v>-6714.4</v>
      </c>
      <c r="U100" s="84">
        <f t="shared" si="24"/>
        <v>1207.500000000001</v>
      </c>
      <c r="V100" s="84">
        <f t="shared" si="24"/>
        <v>16507.3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80329.2369999999</v>
      </c>
      <c r="AH100" s="84">
        <f>AH94-AH95-AH96-AH97-AH98-AH99</f>
        <v>34206.603000000105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86"/>
  <sheetViews>
    <sheetView tabSelected="1" zoomScale="70" zoomScaleNormal="70" zoomScalePageLayoutView="0" workbookViewId="0" topLeftCell="A1">
      <pane xSplit="1" ySplit="8" topLeftCell="K5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90" sqref="G9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97" t="s">
        <v>12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</row>
    <row r="2" spans="1:34" s="18" customFormat="1" ht="22.5" customHeight="1">
      <c r="A2" s="198" t="s">
        <v>64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</row>
    <row r="3" spans="1:34" s="18" customFormat="1" ht="17.25" customHeight="1">
      <c r="A3" s="140"/>
      <c r="B3" s="156"/>
      <c r="C3" s="156"/>
      <c r="D3" s="156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57" t="s">
        <v>17</v>
      </c>
    </row>
    <row r="4" spans="1:34" s="18" customFormat="1" ht="63">
      <c r="A4" s="158" t="s">
        <v>26</v>
      </c>
      <c r="B4" s="159" t="s">
        <v>65</v>
      </c>
      <c r="C4" s="159" t="s">
        <v>18</v>
      </c>
      <c r="D4" s="159">
        <v>1</v>
      </c>
      <c r="E4" s="160">
        <v>2</v>
      </c>
      <c r="F4" s="160">
        <v>3</v>
      </c>
      <c r="G4" s="160">
        <v>4</v>
      </c>
      <c r="H4" s="160">
        <v>5</v>
      </c>
      <c r="I4" s="160">
        <v>8</v>
      </c>
      <c r="J4" s="160">
        <v>9</v>
      </c>
      <c r="K4" s="160">
        <v>10</v>
      </c>
      <c r="L4" s="160">
        <v>11</v>
      </c>
      <c r="M4" s="160">
        <v>12</v>
      </c>
      <c r="N4" s="160">
        <v>15</v>
      </c>
      <c r="O4" s="160">
        <v>16</v>
      </c>
      <c r="P4" s="160">
        <v>17</v>
      </c>
      <c r="Q4" s="160">
        <v>18</v>
      </c>
      <c r="R4" s="160">
        <v>19</v>
      </c>
      <c r="S4" s="160">
        <v>22</v>
      </c>
      <c r="T4" s="160">
        <v>23</v>
      </c>
      <c r="U4" s="160">
        <v>24</v>
      </c>
      <c r="V4" s="160">
        <v>25</v>
      </c>
      <c r="W4" s="160">
        <v>26</v>
      </c>
      <c r="X4" s="160">
        <v>29</v>
      </c>
      <c r="Y4" s="160">
        <v>30</v>
      </c>
      <c r="Z4" s="160">
        <v>31</v>
      </c>
      <c r="AA4" s="160"/>
      <c r="AB4" s="160"/>
      <c r="AC4" s="160"/>
      <c r="AD4" s="160"/>
      <c r="AE4" s="160"/>
      <c r="AF4" s="159" t="s">
        <v>19</v>
      </c>
      <c r="AG4" s="161" t="s">
        <v>13</v>
      </c>
      <c r="AH4" s="161" t="s">
        <v>20</v>
      </c>
    </row>
    <row r="5" spans="1:34" s="18" customFormat="1" ht="15.75" hidden="1">
      <c r="A5" s="162" t="s">
        <v>42</v>
      </c>
      <c r="B5" s="163">
        <f>SUM(D5:Z5)</f>
        <v>0</v>
      </c>
      <c r="C5" s="163"/>
      <c r="D5" s="164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3"/>
      <c r="AG5" s="166"/>
      <c r="AH5" s="166"/>
    </row>
    <row r="6" spans="1:34" s="18" customFormat="1" ht="15.75" hidden="1">
      <c r="A6" s="162" t="s">
        <v>33</v>
      </c>
      <c r="B6" s="167">
        <f>SUM(D6:AE6)</f>
        <v>0</v>
      </c>
      <c r="C6" s="164"/>
      <c r="D6" s="164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4"/>
      <c r="AG6" s="166"/>
      <c r="AH6" s="166"/>
    </row>
    <row r="7" spans="1:34" s="18" customFormat="1" ht="15.75">
      <c r="A7" s="162" t="s">
        <v>36</v>
      </c>
      <c r="B7" s="167">
        <f>SUM(D7:Z7)</f>
        <v>14560.1</v>
      </c>
      <c r="C7" s="163">
        <v>1603.899999999987</v>
      </c>
      <c r="D7" s="164"/>
      <c r="E7" s="165">
        <v>14560.1</v>
      </c>
      <c r="F7" s="165"/>
      <c r="G7" s="165"/>
      <c r="H7" s="168"/>
      <c r="I7" s="169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3">
        <f>C7+F7+K7-AG16-AG25</f>
        <v>-4425.2000000000135</v>
      </c>
      <c r="AG7" s="163"/>
      <c r="AH7" s="166"/>
    </row>
    <row r="8" spans="1:56" s="18" customFormat="1" ht="18" customHeight="1">
      <c r="A8" s="170" t="s">
        <v>30</v>
      </c>
      <c r="B8" s="167">
        <f>SUM(E8:AC8)</f>
        <v>10351.4</v>
      </c>
      <c r="C8" s="167">
        <v>28300.3066200002</v>
      </c>
      <c r="D8" s="171">
        <v>15433.8</v>
      </c>
      <c r="E8" s="172">
        <v>3256.1</v>
      </c>
      <c r="F8" s="173">
        <v>3703.8</v>
      </c>
      <c r="G8" s="173">
        <v>3391.5</v>
      </c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4"/>
      <c r="U8" s="174"/>
      <c r="V8" s="173"/>
      <c r="W8" s="173"/>
      <c r="X8" s="173"/>
      <c r="Y8" s="173"/>
      <c r="Z8" s="173"/>
      <c r="AA8" s="173"/>
      <c r="AB8" s="173"/>
      <c r="AC8" s="173"/>
      <c r="AD8" s="175"/>
      <c r="AE8" s="175"/>
      <c r="AF8" s="176">
        <f>SUM(D8:AE8)+C8-AG9+AG16+AG25</f>
        <v>25211.406620000198</v>
      </c>
      <c r="AG8" s="177"/>
      <c r="AH8" s="139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70" t="s">
        <v>14</v>
      </c>
      <c r="B9" s="178">
        <f aca="true" t="shared" si="0" ref="B9:AE9">B10+B15+B24+B33+B47+B52+B54+B61+B62+B71+B72+B88+B76+B81+B83+B82+B69+B89+B90+B91+B70+B40+B92</f>
        <v>189486.9</v>
      </c>
      <c r="C9" s="178">
        <f t="shared" si="0"/>
        <v>67226.46300000006</v>
      </c>
      <c r="D9" s="179">
        <f t="shared" si="0"/>
        <v>18523</v>
      </c>
      <c r="E9" s="179">
        <f t="shared" si="0"/>
        <v>7287.4</v>
      </c>
      <c r="F9" s="179">
        <f t="shared" si="0"/>
        <v>5701.399999999999</v>
      </c>
      <c r="G9" s="179">
        <f t="shared" si="0"/>
        <v>3391.4</v>
      </c>
      <c r="H9" s="179">
        <f>H10+H15+H24+H33+H47+H52+H54+H61+H62+H71+H72+H88+H76+H81+H83+H82+H69+H89+H90+H91+H70+H40+H92</f>
        <v>0</v>
      </c>
      <c r="I9" s="179">
        <f t="shared" si="0"/>
        <v>0</v>
      </c>
      <c r="J9" s="179">
        <f t="shared" si="0"/>
        <v>0</v>
      </c>
      <c r="K9" s="179">
        <f t="shared" si="0"/>
        <v>0</v>
      </c>
      <c r="L9" s="179">
        <f t="shared" si="0"/>
        <v>0</v>
      </c>
      <c r="M9" s="179">
        <f t="shared" si="0"/>
        <v>0</v>
      </c>
      <c r="N9" s="179">
        <f t="shared" si="0"/>
        <v>0</v>
      </c>
      <c r="O9" s="179">
        <f t="shared" si="0"/>
        <v>0</v>
      </c>
      <c r="P9" s="179">
        <f t="shared" si="0"/>
        <v>0</v>
      </c>
      <c r="Q9" s="179">
        <f t="shared" si="0"/>
        <v>0</v>
      </c>
      <c r="R9" s="179">
        <f t="shared" si="0"/>
        <v>0</v>
      </c>
      <c r="S9" s="179">
        <f t="shared" si="0"/>
        <v>0</v>
      </c>
      <c r="T9" s="179">
        <f t="shared" si="0"/>
        <v>0</v>
      </c>
      <c r="U9" s="179">
        <f t="shared" si="0"/>
        <v>0</v>
      </c>
      <c r="V9" s="179">
        <f t="shared" si="0"/>
        <v>0</v>
      </c>
      <c r="W9" s="179">
        <f t="shared" si="0"/>
        <v>0</v>
      </c>
      <c r="X9" s="179">
        <f t="shared" si="0"/>
        <v>0</v>
      </c>
      <c r="Y9" s="179">
        <f t="shared" si="0"/>
        <v>0</v>
      </c>
      <c r="Z9" s="179">
        <f t="shared" si="0"/>
        <v>0</v>
      </c>
      <c r="AA9" s="179">
        <f t="shared" si="0"/>
        <v>0</v>
      </c>
      <c r="AB9" s="179">
        <f t="shared" si="0"/>
        <v>0</v>
      </c>
      <c r="AC9" s="179">
        <f t="shared" si="0"/>
        <v>0</v>
      </c>
      <c r="AD9" s="179">
        <f t="shared" si="0"/>
        <v>0</v>
      </c>
      <c r="AE9" s="179">
        <f t="shared" si="0"/>
        <v>0</v>
      </c>
      <c r="AF9" s="179"/>
      <c r="AG9" s="179">
        <f>AG10+AG15+AG24+AG33+AG47+AG52+AG54+AG61+AG62+AG71+AG72+AG76+AG88+AG81+AG83+AG82+AG69+AG89+AG90+AG91+AG70+AG40+AG92</f>
        <v>34903.2</v>
      </c>
      <c r="AH9" s="179">
        <f>AH10+AH15+AH24+AH33+AH47+AH52+AH54+AH61+AH62+AH71+AH72+AH76+AH88+AH81+AH83+AH82+AH69+AH89+AH91+AH90+AH70+AH40+AH92</f>
        <v>221810.16299999997</v>
      </c>
      <c r="AI9" s="133"/>
      <c r="AJ9" s="133"/>
    </row>
    <row r="10" spans="1:36" s="140" customFormat="1" ht="15.75">
      <c r="A10" s="143" t="s">
        <v>4</v>
      </c>
      <c r="B10" s="138">
        <f>18308.1+568</f>
        <v>18876.1</v>
      </c>
      <c r="C10" s="138">
        <v>6768.299999999999</v>
      </c>
      <c r="D10" s="139"/>
      <c r="E10" s="139">
        <v>816.9</v>
      </c>
      <c r="F10" s="139">
        <v>556.7</v>
      </c>
      <c r="G10" s="139">
        <v>252.7</v>
      </c>
      <c r="H10" s="139"/>
      <c r="I10" s="139"/>
      <c r="J10" s="139"/>
      <c r="K10" s="180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>
        <f aca="true" t="shared" si="1" ref="AG10:AG59">SUM(D10:AE10)</f>
        <v>1626.3</v>
      </c>
      <c r="AH10" s="139">
        <f>B10+C10-AG10</f>
        <v>24018.1</v>
      </c>
      <c r="AJ10" s="141"/>
    </row>
    <row r="11" spans="1:36" s="140" customFormat="1" ht="15.75">
      <c r="A11" s="137" t="s">
        <v>5</v>
      </c>
      <c r="B11" s="138">
        <f>17320.1+477.4</f>
        <v>17797.5</v>
      </c>
      <c r="C11" s="138">
        <v>5430.600000000006</v>
      </c>
      <c r="D11" s="139"/>
      <c r="E11" s="139">
        <v>385.2</v>
      </c>
      <c r="F11" s="139">
        <v>462.1</v>
      </c>
      <c r="G11" s="139">
        <v>247.2</v>
      </c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>
        <f t="shared" si="1"/>
        <v>1094.5</v>
      </c>
      <c r="AH11" s="139">
        <f>B11+C11-AG11</f>
        <v>22133.600000000006</v>
      </c>
      <c r="AJ11" s="141"/>
    </row>
    <row r="12" spans="1:36" s="140" customFormat="1" ht="15.75">
      <c r="A12" s="137" t="s">
        <v>2</v>
      </c>
      <c r="B12" s="142">
        <v>109.7</v>
      </c>
      <c r="C12" s="138">
        <v>23.4</v>
      </c>
      <c r="D12" s="139"/>
      <c r="E12" s="139"/>
      <c r="F12" s="139">
        <v>71.3</v>
      </c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>
        <f t="shared" si="1"/>
        <v>71.3</v>
      </c>
      <c r="AH12" s="139">
        <f>B12+C12-AG12</f>
        <v>61.8</v>
      </c>
      <c r="AJ12" s="141"/>
    </row>
    <row r="13" spans="1:36" s="140" customFormat="1" ht="15.75" hidden="1">
      <c r="A13" s="137" t="s">
        <v>16</v>
      </c>
      <c r="B13" s="138"/>
      <c r="C13" s="138">
        <v>0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>
        <f t="shared" si="1"/>
        <v>0</v>
      </c>
      <c r="AH13" s="139">
        <f>B13+C13-AG13</f>
        <v>0</v>
      </c>
      <c r="AJ13" s="141"/>
    </row>
    <row r="14" spans="1:36" s="140" customFormat="1" ht="15.75">
      <c r="A14" s="137" t="s">
        <v>23</v>
      </c>
      <c r="B14" s="138">
        <f aca="true" t="shared" si="2" ref="B14:Z14">B10-B11-B12-B13</f>
        <v>968.8999999999985</v>
      </c>
      <c r="C14" s="138">
        <v>1314.2999999999934</v>
      </c>
      <c r="D14" s="139">
        <f t="shared" si="2"/>
        <v>0</v>
      </c>
      <c r="E14" s="139">
        <f t="shared" si="2"/>
        <v>431.7</v>
      </c>
      <c r="F14" s="139">
        <f t="shared" si="2"/>
        <v>23.300000000000026</v>
      </c>
      <c r="G14" s="139">
        <f t="shared" si="2"/>
        <v>5.5</v>
      </c>
      <c r="H14" s="139">
        <f>H10-H11-H12-H13</f>
        <v>0</v>
      </c>
      <c r="I14" s="139">
        <f t="shared" si="2"/>
        <v>0</v>
      </c>
      <c r="J14" s="139">
        <f t="shared" si="2"/>
        <v>0</v>
      </c>
      <c r="K14" s="139">
        <f t="shared" si="2"/>
        <v>0</v>
      </c>
      <c r="L14" s="139">
        <f t="shared" si="2"/>
        <v>0</v>
      </c>
      <c r="M14" s="139">
        <f t="shared" si="2"/>
        <v>0</v>
      </c>
      <c r="N14" s="139">
        <f t="shared" si="2"/>
        <v>0</v>
      </c>
      <c r="O14" s="139">
        <f t="shared" si="2"/>
        <v>0</v>
      </c>
      <c r="P14" s="139">
        <f t="shared" si="2"/>
        <v>0</v>
      </c>
      <c r="Q14" s="139">
        <f t="shared" si="2"/>
        <v>0</v>
      </c>
      <c r="R14" s="139">
        <f t="shared" si="2"/>
        <v>0</v>
      </c>
      <c r="S14" s="139">
        <f t="shared" si="2"/>
        <v>0</v>
      </c>
      <c r="T14" s="139">
        <f t="shared" si="2"/>
        <v>0</v>
      </c>
      <c r="U14" s="139">
        <f t="shared" si="2"/>
        <v>0</v>
      </c>
      <c r="V14" s="139">
        <f t="shared" si="2"/>
        <v>0</v>
      </c>
      <c r="W14" s="139">
        <f t="shared" si="2"/>
        <v>0</v>
      </c>
      <c r="X14" s="139">
        <f t="shared" si="2"/>
        <v>0</v>
      </c>
      <c r="Y14" s="139">
        <f t="shared" si="2"/>
        <v>0</v>
      </c>
      <c r="Z14" s="139">
        <f t="shared" si="2"/>
        <v>0</v>
      </c>
      <c r="AA14" s="139"/>
      <c r="AB14" s="139"/>
      <c r="AC14" s="139"/>
      <c r="AD14" s="139"/>
      <c r="AE14" s="139"/>
      <c r="AF14" s="139"/>
      <c r="AG14" s="139">
        <f t="shared" si="1"/>
        <v>460.5</v>
      </c>
      <c r="AH14" s="139">
        <f>AH10-AH11-AH12-AH13</f>
        <v>1822.6999999999928</v>
      </c>
      <c r="AJ14" s="141"/>
    </row>
    <row r="15" spans="1:36" s="140" customFormat="1" ht="15" customHeight="1">
      <c r="A15" s="143" t="s">
        <v>6</v>
      </c>
      <c r="B15" s="138">
        <f>41794.5-150.8</f>
        <v>41643.7</v>
      </c>
      <c r="C15" s="138">
        <v>29268.100000000035</v>
      </c>
      <c r="D15" s="144"/>
      <c r="E15" s="144">
        <v>4031.4</v>
      </c>
      <c r="F15" s="139">
        <f>1283.3+847.7</f>
        <v>2131</v>
      </c>
      <c r="G15" s="139">
        <v>64.1</v>
      </c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>
        <f t="shared" si="1"/>
        <v>6226.5</v>
      </c>
      <c r="AH15" s="139">
        <f aca="true" t="shared" si="3" ref="AH15:AH31">B15+C15-AG15</f>
        <v>64685.30000000003</v>
      </c>
      <c r="AJ15" s="141"/>
    </row>
    <row r="16" spans="1:36" s="150" customFormat="1" ht="15" customHeight="1">
      <c r="A16" s="145" t="s">
        <v>38</v>
      </c>
      <c r="B16" s="146">
        <v>12081.9</v>
      </c>
      <c r="C16" s="146">
        <v>948.3000000000029</v>
      </c>
      <c r="D16" s="147"/>
      <c r="E16" s="147">
        <v>4031.4</v>
      </c>
      <c r="F16" s="148">
        <v>847.7</v>
      </c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7">
        <f t="shared" si="1"/>
        <v>4879.1</v>
      </c>
      <c r="AH16" s="147">
        <f t="shared" si="3"/>
        <v>8151.100000000002</v>
      </c>
      <c r="AI16" s="149"/>
      <c r="AJ16" s="141"/>
    </row>
    <row r="17" spans="1:36" s="140" customFormat="1" ht="15.75">
      <c r="A17" s="137" t="s">
        <v>5</v>
      </c>
      <c r="B17" s="138">
        <v>35888</v>
      </c>
      <c r="C17" s="138">
        <v>10533.559999999983</v>
      </c>
      <c r="D17" s="139"/>
      <c r="E17" s="139">
        <v>4031.4</v>
      </c>
      <c r="F17" s="139">
        <f>1107.9+847.7</f>
        <v>1955.6000000000001</v>
      </c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>
        <f t="shared" si="1"/>
        <v>5987</v>
      </c>
      <c r="AH17" s="139">
        <f t="shared" si="3"/>
        <v>40434.55999999998</v>
      </c>
      <c r="AI17" s="141"/>
      <c r="AJ17" s="141"/>
    </row>
    <row r="18" spans="1:36" s="140" customFormat="1" ht="15.75">
      <c r="A18" s="137" t="s">
        <v>3</v>
      </c>
      <c r="B18" s="138"/>
      <c r="C18" s="138">
        <v>14.600000000000001</v>
      </c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>
        <f t="shared" si="1"/>
        <v>0</v>
      </c>
      <c r="AH18" s="139">
        <f t="shared" si="3"/>
        <v>14.600000000000001</v>
      </c>
      <c r="AJ18" s="141"/>
    </row>
    <row r="19" spans="1:36" s="140" customFormat="1" ht="15.75">
      <c r="A19" s="137" t="s">
        <v>1</v>
      </c>
      <c r="B19" s="138">
        <v>693.5</v>
      </c>
      <c r="C19" s="138">
        <v>1786.9999999999982</v>
      </c>
      <c r="D19" s="139"/>
      <c r="E19" s="139"/>
      <c r="F19" s="139">
        <v>0.2</v>
      </c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>
        <f t="shared" si="1"/>
        <v>0.2</v>
      </c>
      <c r="AH19" s="139">
        <f t="shared" si="3"/>
        <v>2480.2999999999984</v>
      </c>
      <c r="AJ19" s="141"/>
    </row>
    <row r="20" spans="1:36" s="140" customFormat="1" ht="15.75">
      <c r="A20" s="137" t="s">
        <v>2</v>
      </c>
      <c r="B20" s="138">
        <f>1345.8-150.8</f>
        <v>1195</v>
      </c>
      <c r="C20" s="138">
        <v>7699.5</v>
      </c>
      <c r="D20" s="139"/>
      <c r="E20" s="139"/>
      <c r="F20" s="139">
        <v>114.6</v>
      </c>
      <c r="G20" s="139">
        <v>64.1</v>
      </c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>
        <f t="shared" si="1"/>
        <v>178.7</v>
      </c>
      <c r="AH20" s="139">
        <f t="shared" si="3"/>
        <v>8715.8</v>
      </c>
      <c r="AJ20" s="141"/>
    </row>
    <row r="21" spans="1:36" s="140" customFormat="1" ht="15.75">
      <c r="A21" s="137" t="s">
        <v>16</v>
      </c>
      <c r="B21" s="138">
        <v>961.4</v>
      </c>
      <c r="C21" s="138">
        <v>614.2999999999997</v>
      </c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>
        <f t="shared" si="1"/>
        <v>0</v>
      </c>
      <c r="AH21" s="139">
        <f t="shared" si="3"/>
        <v>1575.6999999999998</v>
      </c>
      <c r="AJ21" s="141"/>
    </row>
    <row r="22" spans="1:36" s="140" customFormat="1" ht="15.75" hidden="1">
      <c r="A22" s="137" t="s">
        <v>15</v>
      </c>
      <c r="B22" s="151"/>
      <c r="C22" s="138">
        <v>0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>
        <f t="shared" si="1"/>
        <v>0</v>
      </c>
      <c r="AH22" s="139">
        <f t="shared" si="3"/>
        <v>0</v>
      </c>
      <c r="AJ22" s="141"/>
    </row>
    <row r="23" spans="1:36" s="140" customFormat="1" ht="15.75">
      <c r="A23" s="137" t="s">
        <v>23</v>
      </c>
      <c r="B23" s="138">
        <f>B15-B17-B18-B19-B20-B21-B22</f>
        <v>2905.799999999997</v>
      </c>
      <c r="C23" s="138">
        <v>8619.1</v>
      </c>
      <c r="D23" s="139">
        <f aca="true" t="shared" si="4" ref="D23:AE23">D15-D17-D18-D19-D20-D21-D22</f>
        <v>0</v>
      </c>
      <c r="E23" s="139">
        <f t="shared" si="4"/>
        <v>0</v>
      </c>
      <c r="F23" s="139">
        <f t="shared" si="4"/>
        <v>60.59999999999988</v>
      </c>
      <c r="G23" s="139">
        <f t="shared" si="4"/>
        <v>0</v>
      </c>
      <c r="H23" s="139">
        <f>H15-H17-H18-H19-H20-H21-H22</f>
        <v>0</v>
      </c>
      <c r="I23" s="139">
        <f t="shared" si="4"/>
        <v>0</v>
      </c>
      <c r="J23" s="139">
        <f t="shared" si="4"/>
        <v>0</v>
      </c>
      <c r="K23" s="139">
        <f t="shared" si="4"/>
        <v>0</v>
      </c>
      <c r="L23" s="139">
        <f t="shared" si="4"/>
        <v>0</v>
      </c>
      <c r="M23" s="139">
        <f t="shared" si="4"/>
        <v>0</v>
      </c>
      <c r="N23" s="139">
        <f t="shared" si="4"/>
        <v>0</v>
      </c>
      <c r="O23" s="139">
        <f t="shared" si="4"/>
        <v>0</v>
      </c>
      <c r="P23" s="139">
        <f t="shared" si="4"/>
        <v>0</v>
      </c>
      <c r="Q23" s="139">
        <f t="shared" si="4"/>
        <v>0</v>
      </c>
      <c r="R23" s="139">
        <f t="shared" si="4"/>
        <v>0</v>
      </c>
      <c r="S23" s="139">
        <f t="shared" si="4"/>
        <v>0</v>
      </c>
      <c r="T23" s="139">
        <f t="shared" si="4"/>
        <v>0</v>
      </c>
      <c r="U23" s="139">
        <f t="shared" si="4"/>
        <v>0</v>
      </c>
      <c r="V23" s="139">
        <f t="shared" si="4"/>
        <v>0</v>
      </c>
      <c r="W23" s="139">
        <f t="shared" si="4"/>
        <v>0</v>
      </c>
      <c r="X23" s="139">
        <f t="shared" si="4"/>
        <v>0</v>
      </c>
      <c r="Y23" s="139">
        <f t="shared" si="4"/>
        <v>0</v>
      </c>
      <c r="Z23" s="139">
        <f t="shared" si="4"/>
        <v>0</v>
      </c>
      <c r="AA23" s="139">
        <f t="shared" si="4"/>
        <v>0</v>
      </c>
      <c r="AB23" s="139">
        <f t="shared" si="4"/>
        <v>0</v>
      </c>
      <c r="AC23" s="139">
        <f t="shared" si="4"/>
        <v>0</v>
      </c>
      <c r="AD23" s="139">
        <f t="shared" si="4"/>
        <v>0</v>
      </c>
      <c r="AE23" s="139">
        <f t="shared" si="4"/>
        <v>0</v>
      </c>
      <c r="AF23" s="139"/>
      <c r="AG23" s="139">
        <f>SUM(D23:AE23)</f>
        <v>60.59999999999988</v>
      </c>
      <c r="AH23" s="139">
        <f>B23+C23-AG23</f>
        <v>11464.299999999997</v>
      </c>
      <c r="AJ23" s="141"/>
    </row>
    <row r="24" spans="1:36" s="140" customFormat="1" ht="15" customHeight="1">
      <c r="A24" s="143" t="s">
        <v>7</v>
      </c>
      <c r="B24" s="138">
        <f>40230.8-580</f>
        <v>39650.8</v>
      </c>
      <c r="C24" s="138">
        <v>12878.563000000016</v>
      </c>
      <c r="D24" s="139"/>
      <c r="E24" s="139"/>
      <c r="F24" s="139">
        <f>1150</f>
        <v>1150</v>
      </c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>
        <f t="shared" si="1"/>
        <v>1150</v>
      </c>
      <c r="AH24" s="139">
        <f t="shared" si="3"/>
        <v>51379.36300000002</v>
      </c>
      <c r="AJ24" s="141"/>
    </row>
    <row r="25" spans="1:36" s="150" customFormat="1" ht="15" customHeight="1">
      <c r="A25" s="145" t="s">
        <v>39</v>
      </c>
      <c r="B25" s="146">
        <v>17137.9</v>
      </c>
      <c r="C25" s="146">
        <v>56.8</v>
      </c>
      <c r="D25" s="148"/>
      <c r="E25" s="148"/>
      <c r="F25" s="148">
        <v>1150</v>
      </c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7">
        <f t="shared" si="1"/>
        <v>1150</v>
      </c>
      <c r="AH25" s="147">
        <f t="shared" si="3"/>
        <v>16044.7</v>
      </c>
      <c r="AI25" s="149"/>
      <c r="AJ25" s="141"/>
    </row>
    <row r="26" spans="1:36" s="140" customFormat="1" ht="15.75" hidden="1">
      <c r="A26" s="137" t="s">
        <v>5</v>
      </c>
      <c r="B26" s="138"/>
      <c r="C26" s="138">
        <v>0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>
        <f t="shared" si="1"/>
        <v>0</v>
      </c>
      <c r="AH26" s="139">
        <f t="shared" si="3"/>
        <v>0</v>
      </c>
      <c r="AI26" s="141"/>
      <c r="AJ26" s="141"/>
    </row>
    <row r="27" spans="1:36" s="140" customFormat="1" ht="15.75" hidden="1">
      <c r="A27" s="137" t="s">
        <v>3</v>
      </c>
      <c r="B27" s="138"/>
      <c r="C27" s="138">
        <v>0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>
        <f t="shared" si="1"/>
        <v>0</v>
      </c>
      <c r="AH27" s="139">
        <f t="shared" si="3"/>
        <v>0</v>
      </c>
      <c r="AJ27" s="141"/>
    </row>
    <row r="28" spans="1:36" s="140" customFormat="1" ht="15.75" hidden="1">
      <c r="A28" s="137" t="s">
        <v>1</v>
      </c>
      <c r="B28" s="138"/>
      <c r="C28" s="138">
        <v>0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>
        <f t="shared" si="1"/>
        <v>0</v>
      </c>
      <c r="AH28" s="139">
        <f t="shared" si="3"/>
        <v>0</v>
      </c>
      <c r="AJ28" s="141"/>
    </row>
    <row r="29" spans="1:36" s="140" customFormat="1" ht="15.75" hidden="1">
      <c r="A29" s="137" t="s">
        <v>2</v>
      </c>
      <c r="B29" s="138"/>
      <c r="C29" s="138">
        <v>0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>
        <f t="shared" si="1"/>
        <v>0</v>
      </c>
      <c r="AH29" s="139">
        <f t="shared" si="3"/>
        <v>0</v>
      </c>
      <c r="AJ29" s="141"/>
    </row>
    <row r="30" spans="1:36" s="140" customFormat="1" ht="15.75">
      <c r="A30" s="137" t="s">
        <v>16</v>
      </c>
      <c r="B30" s="138">
        <v>90.8</v>
      </c>
      <c r="C30" s="138">
        <v>0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>
        <f t="shared" si="1"/>
        <v>0</v>
      </c>
      <c r="AH30" s="139">
        <f t="shared" si="3"/>
        <v>90.8</v>
      </c>
      <c r="AJ30" s="141"/>
    </row>
    <row r="31" spans="1:36" s="140" customFormat="1" ht="15.75" hidden="1">
      <c r="A31" s="137" t="s">
        <v>15</v>
      </c>
      <c r="B31" s="138"/>
      <c r="C31" s="138">
        <v>0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>
        <f t="shared" si="1"/>
        <v>0</v>
      </c>
      <c r="AH31" s="139">
        <f t="shared" si="3"/>
        <v>0</v>
      </c>
      <c r="AJ31" s="141"/>
    </row>
    <row r="32" spans="1:36" s="140" customFormat="1" ht="15.75">
      <c r="A32" s="137" t="s">
        <v>23</v>
      </c>
      <c r="B32" s="138">
        <f>B24-B30</f>
        <v>39560</v>
      </c>
      <c r="C32" s="138">
        <v>12878.563000000016</v>
      </c>
      <c r="D32" s="139">
        <f aca="true" t="shared" si="5" ref="D32:AE32">D24-D26-D27-D28-D29-D30-D31</f>
        <v>0</v>
      </c>
      <c r="E32" s="139">
        <f t="shared" si="5"/>
        <v>0</v>
      </c>
      <c r="F32" s="139">
        <f t="shared" si="5"/>
        <v>1150</v>
      </c>
      <c r="G32" s="139">
        <f t="shared" si="5"/>
        <v>0</v>
      </c>
      <c r="H32" s="139">
        <f>H24-H26-H27-H28-H29-H30-H31</f>
        <v>0</v>
      </c>
      <c r="I32" s="139">
        <f t="shared" si="5"/>
        <v>0</v>
      </c>
      <c r="J32" s="139">
        <f t="shared" si="5"/>
        <v>0</v>
      </c>
      <c r="K32" s="139">
        <f t="shared" si="5"/>
        <v>0</v>
      </c>
      <c r="L32" s="139">
        <f t="shared" si="5"/>
        <v>0</v>
      </c>
      <c r="M32" s="139">
        <f t="shared" si="5"/>
        <v>0</v>
      </c>
      <c r="N32" s="139">
        <f t="shared" si="5"/>
        <v>0</v>
      </c>
      <c r="O32" s="139">
        <f t="shared" si="5"/>
        <v>0</v>
      </c>
      <c r="P32" s="139">
        <f t="shared" si="5"/>
        <v>0</v>
      </c>
      <c r="Q32" s="139">
        <f t="shared" si="5"/>
        <v>0</v>
      </c>
      <c r="R32" s="139">
        <f t="shared" si="5"/>
        <v>0</v>
      </c>
      <c r="S32" s="139">
        <f t="shared" si="5"/>
        <v>0</v>
      </c>
      <c r="T32" s="139">
        <f t="shared" si="5"/>
        <v>0</v>
      </c>
      <c r="U32" s="139">
        <f t="shared" si="5"/>
        <v>0</v>
      </c>
      <c r="V32" s="139">
        <f t="shared" si="5"/>
        <v>0</v>
      </c>
      <c r="W32" s="139">
        <f t="shared" si="5"/>
        <v>0</v>
      </c>
      <c r="X32" s="139">
        <f t="shared" si="5"/>
        <v>0</v>
      </c>
      <c r="Y32" s="139">
        <f t="shared" si="5"/>
        <v>0</v>
      </c>
      <c r="Z32" s="139">
        <f t="shared" si="5"/>
        <v>0</v>
      </c>
      <c r="AA32" s="139">
        <f t="shared" si="5"/>
        <v>0</v>
      </c>
      <c r="AB32" s="139">
        <f t="shared" si="5"/>
        <v>0</v>
      </c>
      <c r="AC32" s="139">
        <f t="shared" si="5"/>
        <v>0</v>
      </c>
      <c r="AD32" s="139">
        <f t="shared" si="5"/>
        <v>0</v>
      </c>
      <c r="AE32" s="139">
        <f t="shared" si="5"/>
        <v>0</v>
      </c>
      <c r="AF32" s="139"/>
      <c r="AG32" s="139">
        <f t="shared" si="1"/>
        <v>1150</v>
      </c>
      <c r="AH32" s="139">
        <f>AH24-AH30</f>
        <v>51288.56300000002</v>
      </c>
      <c r="AJ32" s="141"/>
    </row>
    <row r="33" spans="1:36" s="140" customFormat="1" ht="15" customHeight="1">
      <c r="A33" s="143" t="s">
        <v>8</v>
      </c>
      <c r="B33" s="138">
        <v>2001.1</v>
      </c>
      <c r="C33" s="138">
        <v>1169.0000000000002</v>
      </c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>
        <f>SUM(D33:AE33)</f>
        <v>0</v>
      </c>
      <c r="AH33" s="139">
        <f aca="true" t="shared" si="6" ref="AH33:AH38">B33+C33-AG33</f>
        <v>3170.1000000000004</v>
      </c>
      <c r="AJ33" s="141"/>
    </row>
    <row r="34" spans="1:36" s="140" customFormat="1" ht="15.75">
      <c r="A34" s="137" t="s">
        <v>5</v>
      </c>
      <c r="B34" s="138">
        <v>344.2</v>
      </c>
      <c r="C34" s="138">
        <v>48.5</v>
      </c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>
        <f t="shared" si="1"/>
        <v>0</v>
      </c>
      <c r="AH34" s="139">
        <f t="shared" si="6"/>
        <v>392.7</v>
      </c>
      <c r="AJ34" s="141"/>
    </row>
    <row r="35" spans="1:36" s="140" customFormat="1" ht="15.75">
      <c r="A35" s="137" t="s">
        <v>1</v>
      </c>
      <c r="B35" s="138"/>
      <c r="C35" s="138">
        <v>68.5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>
        <f t="shared" si="1"/>
        <v>0</v>
      </c>
      <c r="AH35" s="139">
        <f t="shared" si="6"/>
        <v>68.5</v>
      </c>
      <c r="AJ35" s="141"/>
    </row>
    <row r="36" spans="1:36" s="140" customFormat="1" ht="15.75">
      <c r="A36" s="137" t="s">
        <v>2</v>
      </c>
      <c r="B36" s="151">
        <v>4.3</v>
      </c>
      <c r="C36" s="138">
        <v>70.4</v>
      </c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>
        <f t="shared" si="1"/>
        <v>0</v>
      </c>
      <c r="AH36" s="139">
        <f t="shared" si="6"/>
        <v>74.7</v>
      </c>
      <c r="AJ36" s="141"/>
    </row>
    <row r="37" spans="1:36" s="140" customFormat="1" ht="15.75">
      <c r="A37" s="137" t="s">
        <v>16</v>
      </c>
      <c r="B37" s="138">
        <v>1567.5</v>
      </c>
      <c r="C37" s="138">
        <v>768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>
        <f t="shared" si="1"/>
        <v>0</v>
      </c>
      <c r="AH37" s="139">
        <f t="shared" si="6"/>
        <v>2335.5</v>
      </c>
      <c r="AJ37" s="141"/>
    </row>
    <row r="38" spans="1:36" s="140" customFormat="1" ht="15.75" hidden="1">
      <c r="A38" s="137" t="s">
        <v>15</v>
      </c>
      <c r="B38" s="138"/>
      <c r="C38" s="138">
        <v>0</v>
      </c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>
        <f t="shared" si="1"/>
        <v>0</v>
      </c>
      <c r="AH38" s="139">
        <f t="shared" si="6"/>
        <v>0</v>
      </c>
      <c r="AJ38" s="141"/>
    </row>
    <row r="39" spans="1:36" s="140" customFormat="1" ht="15.75">
      <c r="A39" s="137" t="s">
        <v>23</v>
      </c>
      <c r="B39" s="138">
        <f aca="true" t="shared" si="7" ref="B39:AE39">B33-B34-B36-B38-B37-B35</f>
        <v>85.09999999999991</v>
      </c>
      <c r="C39" s="138">
        <v>213.60000000000014</v>
      </c>
      <c r="D39" s="139">
        <f t="shared" si="7"/>
        <v>0</v>
      </c>
      <c r="E39" s="139">
        <f t="shared" si="7"/>
        <v>0</v>
      </c>
      <c r="F39" s="139">
        <f t="shared" si="7"/>
        <v>0</v>
      </c>
      <c r="G39" s="139">
        <f t="shared" si="7"/>
        <v>0</v>
      </c>
      <c r="H39" s="139">
        <f>H33-H34-H36-H38-H37-H35</f>
        <v>0</v>
      </c>
      <c r="I39" s="139">
        <f t="shared" si="7"/>
        <v>0</v>
      </c>
      <c r="J39" s="139">
        <f t="shared" si="7"/>
        <v>0</v>
      </c>
      <c r="K39" s="139">
        <f t="shared" si="7"/>
        <v>0</v>
      </c>
      <c r="L39" s="139">
        <f t="shared" si="7"/>
        <v>0</v>
      </c>
      <c r="M39" s="139">
        <f t="shared" si="7"/>
        <v>0</v>
      </c>
      <c r="N39" s="139">
        <f t="shared" si="7"/>
        <v>0</v>
      </c>
      <c r="O39" s="139">
        <f t="shared" si="7"/>
        <v>0</v>
      </c>
      <c r="P39" s="139">
        <f t="shared" si="7"/>
        <v>0</v>
      </c>
      <c r="Q39" s="139">
        <f t="shared" si="7"/>
        <v>0</v>
      </c>
      <c r="R39" s="139">
        <f t="shared" si="7"/>
        <v>0</v>
      </c>
      <c r="S39" s="139">
        <f t="shared" si="7"/>
        <v>0</v>
      </c>
      <c r="T39" s="139">
        <f t="shared" si="7"/>
        <v>0</v>
      </c>
      <c r="U39" s="139">
        <f t="shared" si="7"/>
        <v>0</v>
      </c>
      <c r="V39" s="139">
        <f t="shared" si="7"/>
        <v>0</v>
      </c>
      <c r="W39" s="139">
        <f t="shared" si="7"/>
        <v>0</v>
      </c>
      <c r="X39" s="139">
        <f t="shared" si="7"/>
        <v>0</v>
      </c>
      <c r="Y39" s="139">
        <f t="shared" si="7"/>
        <v>0</v>
      </c>
      <c r="Z39" s="139">
        <f t="shared" si="7"/>
        <v>0</v>
      </c>
      <c r="AA39" s="139">
        <f t="shared" si="7"/>
        <v>0</v>
      </c>
      <c r="AB39" s="139">
        <f t="shared" si="7"/>
        <v>0</v>
      </c>
      <c r="AC39" s="139">
        <f t="shared" si="7"/>
        <v>0</v>
      </c>
      <c r="AD39" s="139">
        <f t="shared" si="7"/>
        <v>0</v>
      </c>
      <c r="AE39" s="139">
        <f t="shared" si="7"/>
        <v>0</v>
      </c>
      <c r="AF39" s="139"/>
      <c r="AG39" s="139">
        <f t="shared" si="1"/>
        <v>0</v>
      </c>
      <c r="AH39" s="139">
        <f>AH33-AH34-AH36-AH38-AH35-AH37</f>
        <v>298.7000000000007</v>
      </c>
      <c r="AJ39" s="141"/>
    </row>
    <row r="40" spans="1:36" s="140" customFormat="1" ht="15" customHeight="1">
      <c r="A40" s="143" t="s">
        <v>29</v>
      </c>
      <c r="B40" s="138">
        <f>1347.9+32.7</f>
        <v>1380.6000000000001</v>
      </c>
      <c r="C40" s="138">
        <v>323.5</v>
      </c>
      <c r="D40" s="139"/>
      <c r="E40" s="139"/>
      <c r="F40" s="139">
        <v>39.3</v>
      </c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>
        <f t="shared" si="1"/>
        <v>39.3</v>
      </c>
      <c r="AH40" s="139">
        <f aca="true" t="shared" si="8" ref="AH40:AH45">B40+C40-AG40</f>
        <v>1664.8000000000002</v>
      </c>
      <c r="AJ40" s="141"/>
    </row>
    <row r="41" spans="1:36" s="140" customFormat="1" ht="15.75">
      <c r="A41" s="137" t="s">
        <v>5</v>
      </c>
      <c r="B41" s="138">
        <v>1299.1</v>
      </c>
      <c r="C41" s="138">
        <v>102.89999999999941</v>
      </c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>
        <f t="shared" si="1"/>
        <v>0</v>
      </c>
      <c r="AH41" s="139">
        <f t="shared" si="8"/>
        <v>1401.9999999999993</v>
      </c>
      <c r="AI41" s="141"/>
      <c r="AJ41" s="141"/>
    </row>
    <row r="42" spans="1:36" s="140" customFormat="1" ht="15.75">
      <c r="A42" s="137" t="s">
        <v>3</v>
      </c>
      <c r="B42" s="138"/>
      <c r="C42" s="138">
        <v>0.9</v>
      </c>
      <c r="D42" s="139"/>
      <c r="E42" s="139"/>
      <c r="F42" s="139">
        <v>0.9</v>
      </c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>
        <f t="shared" si="1"/>
        <v>0.9</v>
      </c>
      <c r="AH42" s="139">
        <f t="shared" si="8"/>
        <v>0</v>
      </c>
      <c r="AJ42" s="141"/>
    </row>
    <row r="43" spans="1:36" s="140" customFormat="1" ht="15.75">
      <c r="A43" s="137" t="s">
        <v>1</v>
      </c>
      <c r="B43" s="138">
        <v>9.3</v>
      </c>
      <c r="C43" s="138">
        <v>4.0000000000000036</v>
      </c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>
        <f t="shared" si="1"/>
        <v>0</v>
      </c>
      <c r="AH43" s="139">
        <f t="shared" si="8"/>
        <v>13.300000000000004</v>
      </c>
      <c r="AJ43" s="141"/>
    </row>
    <row r="44" spans="1:36" s="140" customFormat="1" ht="15.75">
      <c r="A44" s="137" t="s">
        <v>2</v>
      </c>
      <c r="B44" s="138">
        <v>8.2</v>
      </c>
      <c r="C44" s="138">
        <v>164.90000000000006</v>
      </c>
      <c r="D44" s="139"/>
      <c r="E44" s="139"/>
      <c r="F44" s="139">
        <v>4</v>
      </c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>
        <f t="shared" si="1"/>
        <v>4</v>
      </c>
      <c r="AH44" s="139">
        <f t="shared" si="8"/>
        <v>169.10000000000005</v>
      </c>
      <c r="AJ44" s="141"/>
    </row>
    <row r="45" spans="1:36" s="140" customFormat="1" ht="15.75" hidden="1">
      <c r="A45" s="137" t="s">
        <v>15</v>
      </c>
      <c r="B45" s="138"/>
      <c r="C45" s="138">
        <v>0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>
        <f t="shared" si="1"/>
        <v>0</v>
      </c>
      <c r="AH45" s="139">
        <f t="shared" si="8"/>
        <v>0</v>
      </c>
      <c r="AJ45" s="141"/>
    </row>
    <row r="46" spans="1:36" s="140" customFormat="1" ht="15.75">
      <c r="A46" s="137" t="s">
        <v>23</v>
      </c>
      <c r="B46" s="138">
        <f aca="true" t="shared" si="9" ref="B46:AE46">B40-B41-B42-B43-B44-B45</f>
        <v>64.00000000000023</v>
      </c>
      <c r="C46" s="138">
        <v>50.80000000000052</v>
      </c>
      <c r="D46" s="139">
        <f t="shared" si="9"/>
        <v>0</v>
      </c>
      <c r="E46" s="139">
        <f t="shared" si="9"/>
        <v>0</v>
      </c>
      <c r="F46" s="139">
        <f t="shared" si="9"/>
        <v>34.4</v>
      </c>
      <c r="G46" s="139">
        <f t="shared" si="9"/>
        <v>0</v>
      </c>
      <c r="H46" s="139">
        <f>H40-H41-H42-H43-H44-H45</f>
        <v>0</v>
      </c>
      <c r="I46" s="139">
        <f t="shared" si="9"/>
        <v>0</v>
      </c>
      <c r="J46" s="139">
        <f t="shared" si="9"/>
        <v>0</v>
      </c>
      <c r="K46" s="139">
        <f t="shared" si="9"/>
        <v>0</v>
      </c>
      <c r="L46" s="139">
        <f t="shared" si="9"/>
        <v>0</v>
      </c>
      <c r="M46" s="139">
        <f t="shared" si="9"/>
        <v>0</v>
      </c>
      <c r="N46" s="139">
        <f t="shared" si="9"/>
        <v>0</v>
      </c>
      <c r="O46" s="139">
        <f t="shared" si="9"/>
        <v>0</v>
      </c>
      <c r="P46" s="139">
        <f t="shared" si="9"/>
        <v>0</v>
      </c>
      <c r="Q46" s="139">
        <f t="shared" si="9"/>
        <v>0</v>
      </c>
      <c r="R46" s="139">
        <f t="shared" si="9"/>
        <v>0</v>
      </c>
      <c r="S46" s="139">
        <f t="shared" si="9"/>
        <v>0</v>
      </c>
      <c r="T46" s="139">
        <f t="shared" si="9"/>
        <v>0</v>
      </c>
      <c r="U46" s="139">
        <f t="shared" si="9"/>
        <v>0</v>
      </c>
      <c r="V46" s="139">
        <f t="shared" si="9"/>
        <v>0</v>
      </c>
      <c r="W46" s="139">
        <f t="shared" si="9"/>
        <v>0</v>
      </c>
      <c r="X46" s="139">
        <f t="shared" si="9"/>
        <v>0</v>
      </c>
      <c r="Y46" s="139">
        <f t="shared" si="9"/>
        <v>0</v>
      </c>
      <c r="Z46" s="139">
        <f t="shared" si="9"/>
        <v>0</v>
      </c>
      <c r="AA46" s="139">
        <f t="shared" si="9"/>
        <v>0</v>
      </c>
      <c r="AB46" s="139">
        <f t="shared" si="9"/>
        <v>0</v>
      </c>
      <c r="AC46" s="139">
        <f t="shared" si="9"/>
        <v>0</v>
      </c>
      <c r="AD46" s="139">
        <f t="shared" si="9"/>
        <v>0</v>
      </c>
      <c r="AE46" s="139">
        <f t="shared" si="9"/>
        <v>0</v>
      </c>
      <c r="AF46" s="139"/>
      <c r="AG46" s="139">
        <f t="shared" si="1"/>
        <v>34.4</v>
      </c>
      <c r="AH46" s="139">
        <f>AH40-AH41-AH42-AH43-AH44-AH45</f>
        <v>80.4000000000008</v>
      </c>
      <c r="AJ46" s="141"/>
    </row>
    <row r="47" spans="1:36" s="140" customFormat="1" ht="17.25" customHeight="1">
      <c r="A47" s="143" t="s">
        <v>43</v>
      </c>
      <c r="B47" s="142">
        <f>8106.7-26.4</f>
        <v>8080.3</v>
      </c>
      <c r="C47" s="138">
        <v>2988.9000000000015</v>
      </c>
      <c r="D47" s="139"/>
      <c r="E47" s="152">
        <v>53.2</v>
      </c>
      <c r="F47" s="152">
        <v>1580.1</v>
      </c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39">
        <f t="shared" si="1"/>
        <v>1633.3</v>
      </c>
      <c r="AH47" s="139">
        <f>B47+C47-AG47</f>
        <v>9435.900000000001</v>
      </c>
      <c r="AJ47" s="141"/>
    </row>
    <row r="48" spans="1:36" s="140" customFormat="1" ht="15.75">
      <c r="A48" s="137" t="s">
        <v>5</v>
      </c>
      <c r="B48" s="138">
        <v>54.3</v>
      </c>
      <c r="C48" s="138">
        <v>104.30000000000004</v>
      </c>
      <c r="D48" s="139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39">
        <f t="shared" si="1"/>
        <v>0</v>
      </c>
      <c r="AH48" s="139">
        <f>B48+C48-AG48</f>
        <v>158.60000000000002</v>
      </c>
      <c r="AJ48" s="141"/>
    </row>
    <row r="49" spans="1:36" s="140" customFormat="1" ht="15.75">
      <c r="A49" s="137" t="s">
        <v>16</v>
      </c>
      <c r="B49" s="138">
        <f>7410.5-112</f>
        <v>7298.5</v>
      </c>
      <c r="C49" s="138">
        <v>2121.5000000000036</v>
      </c>
      <c r="D49" s="139"/>
      <c r="E49" s="139"/>
      <c r="F49" s="139">
        <v>1559.4</v>
      </c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>
        <f t="shared" si="1"/>
        <v>1559.4</v>
      </c>
      <c r="AH49" s="139">
        <f>B49+C49-AG49</f>
        <v>7860.600000000004</v>
      </c>
      <c r="AJ49" s="141"/>
    </row>
    <row r="50" spans="1:36" s="140" customFormat="1" ht="30" hidden="1">
      <c r="A50" s="153" t="s">
        <v>34</v>
      </c>
      <c r="B50" s="138"/>
      <c r="C50" s="138">
        <v>0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>
        <f t="shared" si="1"/>
        <v>0</v>
      </c>
      <c r="AH50" s="139">
        <f>B50+C50-AG50</f>
        <v>0</v>
      </c>
      <c r="AJ50" s="141"/>
    </row>
    <row r="51" spans="1:36" s="140" customFormat="1" ht="15.75">
      <c r="A51" s="154" t="s">
        <v>23</v>
      </c>
      <c r="B51" s="138">
        <f aca="true" t="shared" si="10" ref="B51:AE51">B47-B48-B49</f>
        <v>727.5</v>
      </c>
      <c r="C51" s="138">
        <v>763.0999999999977</v>
      </c>
      <c r="D51" s="139">
        <f t="shared" si="10"/>
        <v>0</v>
      </c>
      <c r="E51" s="139">
        <f t="shared" si="10"/>
        <v>53.2</v>
      </c>
      <c r="F51" s="139">
        <f t="shared" si="10"/>
        <v>20.699999999999818</v>
      </c>
      <c r="G51" s="139">
        <f t="shared" si="10"/>
        <v>0</v>
      </c>
      <c r="H51" s="139">
        <f>H47-H48-H49</f>
        <v>0</v>
      </c>
      <c r="I51" s="139">
        <f t="shared" si="10"/>
        <v>0</v>
      </c>
      <c r="J51" s="139">
        <f t="shared" si="10"/>
        <v>0</v>
      </c>
      <c r="K51" s="139">
        <f t="shared" si="10"/>
        <v>0</v>
      </c>
      <c r="L51" s="139">
        <f t="shared" si="10"/>
        <v>0</v>
      </c>
      <c r="M51" s="139">
        <f t="shared" si="10"/>
        <v>0</v>
      </c>
      <c r="N51" s="139">
        <f t="shared" si="10"/>
        <v>0</v>
      </c>
      <c r="O51" s="139">
        <f t="shared" si="10"/>
        <v>0</v>
      </c>
      <c r="P51" s="139">
        <f t="shared" si="10"/>
        <v>0</v>
      </c>
      <c r="Q51" s="139">
        <f t="shared" si="10"/>
        <v>0</v>
      </c>
      <c r="R51" s="139">
        <f t="shared" si="10"/>
        <v>0</v>
      </c>
      <c r="S51" s="139">
        <f t="shared" si="10"/>
        <v>0</v>
      </c>
      <c r="T51" s="139">
        <f t="shared" si="10"/>
        <v>0</v>
      </c>
      <c r="U51" s="139">
        <f t="shared" si="10"/>
        <v>0</v>
      </c>
      <c r="V51" s="139">
        <f t="shared" si="10"/>
        <v>0</v>
      </c>
      <c r="W51" s="139">
        <f t="shared" si="10"/>
        <v>0</v>
      </c>
      <c r="X51" s="139">
        <f t="shared" si="10"/>
        <v>0</v>
      </c>
      <c r="Y51" s="139">
        <f t="shared" si="10"/>
        <v>0</v>
      </c>
      <c r="Z51" s="139">
        <f t="shared" si="10"/>
        <v>0</v>
      </c>
      <c r="AA51" s="139">
        <f t="shared" si="10"/>
        <v>0</v>
      </c>
      <c r="AB51" s="139">
        <f t="shared" si="10"/>
        <v>0</v>
      </c>
      <c r="AC51" s="139">
        <f t="shared" si="10"/>
        <v>0</v>
      </c>
      <c r="AD51" s="139">
        <f t="shared" si="10"/>
        <v>0</v>
      </c>
      <c r="AE51" s="139">
        <f t="shared" si="10"/>
        <v>0</v>
      </c>
      <c r="AF51" s="139"/>
      <c r="AG51" s="139">
        <f t="shared" si="1"/>
        <v>73.89999999999982</v>
      </c>
      <c r="AH51" s="139">
        <f>AH47-AH49-AH48</f>
        <v>1416.6999999999975</v>
      </c>
      <c r="AJ51" s="141"/>
    </row>
    <row r="52" spans="1:36" s="140" customFormat="1" ht="15" customHeight="1">
      <c r="A52" s="143" t="s">
        <v>0</v>
      </c>
      <c r="B52" s="138">
        <f>12178.3-243</f>
        <v>11935.3</v>
      </c>
      <c r="C52" s="138">
        <v>2986.9999999999973</v>
      </c>
      <c r="D52" s="139"/>
      <c r="E52" s="139">
        <v>83.7</v>
      </c>
      <c r="F52" s="139">
        <v>1947.1</v>
      </c>
      <c r="G52" s="139">
        <v>120.8</v>
      </c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>
        <f t="shared" si="1"/>
        <v>2151.6</v>
      </c>
      <c r="AH52" s="139">
        <f aca="true" t="shared" si="11" ref="AH52:AH59">B52+C52-AG52</f>
        <v>12770.699999999995</v>
      </c>
      <c r="AJ52" s="141"/>
    </row>
    <row r="53" spans="1:36" s="140" customFormat="1" ht="15" customHeight="1">
      <c r="A53" s="137" t="s">
        <v>2</v>
      </c>
      <c r="B53" s="138">
        <v>1788.4</v>
      </c>
      <c r="C53" s="138">
        <v>74.59999999999945</v>
      </c>
      <c r="D53" s="139"/>
      <c r="E53" s="139">
        <v>83.7</v>
      </c>
      <c r="F53" s="139">
        <v>677.1</v>
      </c>
      <c r="G53" s="139">
        <v>35.3</v>
      </c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>
        <f t="shared" si="1"/>
        <v>796.1</v>
      </c>
      <c r="AH53" s="139">
        <f t="shared" si="11"/>
        <v>1066.8999999999996</v>
      </c>
      <c r="AJ53" s="141"/>
    </row>
    <row r="54" spans="1:36" s="140" customFormat="1" ht="15" customHeight="1">
      <c r="A54" s="143" t="s">
        <v>9</v>
      </c>
      <c r="B54" s="151">
        <f>1909.6+16.9+150.8</f>
        <v>2077.3</v>
      </c>
      <c r="C54" s="138">
        <v>1168.1999999999998</v>
      </c>
      <c r="D54" s="139"/>
      <c r="E54" s="139">
        <v>185.8</v>
      </c>
      <c r="F54" s="139">
        <v>4.3</v>
      </c>
      <c r="G54" s="139">
        <v>148.9</v>
      </c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>
        <f t="shared" si="1"/>
        <v>339</v>
      </c>
      <c r="AH54" s="139">
        <f t="shared" si="11"/>
        <v>2906.5</v>
      </c>
      <c r="AI54" s="141"/>
      <c r="AJ54" s="141"/>
    </row>
    <row r="55" spans="1:36" s="140" customFormat="1" ht="15.75">
      <c r="A55" s="137" t="s">
        <v>5</v>
      </c>
      <c r="B55" s="138">
        <v>1306.2</v>
      </c>
      <c r="C55" s="138">
        <v>236.39999999999986</v>
      </c>
      <c r="D55" s="139"/>
      <c r="E55" s="139"/>
      <c r="F55" s="139">
        <v>4.3</v>
      </c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>
        <f t="shared" si="1"/>
        <v>4.3</v>
      </c>
      <c r="AH55" s="139">
        <f t="shared" si="11"/>
        <v>1538.3</v>
      </c>
      <c r="AI55" s="141"/>
      <c r="AJ55" s="141"/>
    </row>
    <row r="56" spans="1:36" s="140" customFormat="1" ht="15" customHeight="1">
      <c r="A56" s="137" t="s">
        <v>1</v>
      </c>
      <c r="B56" s="138"/>
      <c r="C56" s="138">
        <v>0</v>
      </c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>
        <f t="shared" si="1"/>
        <v>0</v>
      </c>
      <c r="AH56" s="139">
        <f t="shared" si="11"/>
        <v>0</v>
      </c>
      <c r="AI56" s="141"/>
      <c r="AJ56" s="141"/>
    </row>
    <row r="57" spans="1:36" s="140" customFormat="1" ht="15.75">
      <c r="A57" s="137" t="s">
        <v>2</v>
      </c>
      <c r="B57" s="142">
        <v>18.3</v>
      </c>
      <c r="C57" s="138">
        <v>186.89999999999992</v>
      </c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>
        <f t="shared" si="1"/>
        <v>0</v>
      </c>
      <c r="AH57" s="139">
        <f t="shared" si="11"/>
        <v>205.19999999999993</v>
      </c>
      <c r="AJ57" s="141"/>
    </row>
    <row r="58" spans="1:36" s="140" customFormat="1" ht="15.75">
      <c r="A58" s="137" t="s">
        <v>16</v>
      </c>
      <c r="B58" s="142"/>
      <c r="C58" s="138">
        <v>53.8</v>
      </c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>
        <f t="shared" si="1"/>
        <v>0</v>
      </c>
      <c r="AH58" s="139">
        <f t="shared" si="11"/>
        <v>53.8</v>
      </c>
      <c r="AJ58" s="141"/>
    </row>
    <row r="59" spans="1:36" s="140" customFormat="1" ht="15.75" hidden="1">
      <c r="A59" s="137" t="s">
        <v>15</v>
      </c>
      <c r="B59" s="138"/>
      <c r="C59" s="138">
        <v>0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>
        <f t="shared" si="1"/>
        <v>0</v>
      </c>
      <c r="AH59" s="139">
        <f t="shared" si="11"/>
        <v>0</v>
      </c>
      <c r="AJ59" s="141"/>
    </row>
    <row r="60" spans="1:36" s="140" customFormat="1" ht="15.75">
      <c r="A60" s="137" t="s">
        <v>23</v>
      </c>
      <c r="B60" s="138">
        <f aca="true" t="shared" si="12" ref="B60:AE60">B54-B55-B57-B59-B56-B58</f>
        <v>752.8000000000002</v>
      </c>
      <c r="C60" s="138">
        <v>691.1000000000001</v>
      </c>
      <c r="D60" s="139">
        <f t="shared" si="12"/>
        <v>0</v>
      </c>
      <c r="E60" s="139">
        <f t="shared" si="12"/>
        <v>185.8</v>
      </c>
      <c r="F60" s="139">
        <f t="shared" si="12"/>
        <v>0</v>
      </c>
      <c r="G60" s="139">
        <f t="shared" si="12"/>
        <v>148.9</v>
      </c>
      <c r="H60" s="139">
        <f>H54-H55-H57-H59-H56-H58</f>
        <v>0</v>
      </c>
      <c r="I60" s="139">
        <f t="shared" si="12"/>
        <v>0</v>
      </c>
      <c r="J60" s="139">
        <f t="shared" si="12"/>
        <v>0</v>
      </c>
      <c r="K60" s="139">
        <f t="shared" si="12"/>
        <v>0</v>
      </c>
      <c r="L60" s="139">
        <f t="shared" si="12"/>
        <v>0</v>
      </c>
      <c r="M60" s="139">
        <f t="shared" si="12"/>
        <v>0</v>
      </c>
      <c r="N60" s="139">
        <f t="shared" si="12"/>
        <v>0</v>
      </c>
      <c r="O60" s="139">
        <f t="shared" si="12"/>
        <v>0</v>
      </c>
      <c r="P60" s="139">
        <f t="shared" si="12"/>
        <v>0</v>
      </c>
      <c r="Q60" s="139">
        <f t="shared" si="12"/>
        <v>0</v>
      </c>
      <c r="R60" s="139">
        <f t="shared" si="12"/>
        <v>0</v>
      </c>
      <c r="S60" s="139">
        <f t="shared" si="12"/>
        <v>0</v>
      </c>
      <c r="T60" s="139">
        <f t="shared" si="12"/>
        <v>0</v>
      </c>
      <c r="U60" s="139">
        <f t="shared" si="12"/>
        <v>0</v>
      </c>
      <c r="V60" s="139">
        <f t="shared" si="12"/>
        <v>0</v>
      </c>
      <c r="W60" s="139">
        <f t="shared" si="12"/>
        <v>0</v>
      </c>
      <c r="X60" s="139">
        <f t="shared" si="12"/>
        <v>0</v>
      </c>
      <c r="Y60" s="139">
        <f t="shared" si="12"/>
        <v>0</v>
      </c>
      <c r="Z60" s="139">
        <f t="shared" si="12"/>
        <v>0</v>
      </c>
      <c r="AA60" s="139">
        <f t="shared" si="12"/>
        <v>0</v>
      </c>
      <c r="AB60" s="139">
        <f t="shared" si="12"/>
        <v>0</v>
      </c>
      <c r="AC60" s="139">
        <f t="shared" si="12"/>
        <v>0</v>
      </c>
      <c r="AD60" s="139">
        <f t="shared" si="12"/>
        <v>0</v>
      </c>
      <c r="AE60" s="139">
        <f t="shared" si="12"/>
        <v>0</v>
      </c>
      <c r="AF60" s="139"/>
      <c r="AG60" s="139">
        <f>AG54-AG55-AG57-AG59-AG56-AG58</f>
        <v>334.7</v>
      </c>
      <c r="AH60" s="139">
        <f>AH54-AH55-AH57-AH59-AH56-AH58</f>
        <v>1109.2</v>
      </c>
      <c r="AJ60" s="141"/>
    </row>
    <row r="61" spans="1:36" s="140" customFormat="1" ht="15" customHeight="1">
      <c r="A61" s="143" t="s">
        <v>10</v>
      </c>
      <c r="B61" s="138">
        <v>84</v>
      </c>
      <c r="C61" s="138">
        <v>63.29999999999999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>
        <f aca="true" t="shared" si="13" ref="AG61:AG92">SUM(D61:AE61)</f>
        <v>0</v>
      </c>
      <c r="AH61" s="139">
        <f aca="true" t="shared" si="14" ref="AH61:AH67">B61+C61-AG61</f>
        <v>147.29999999999998</v>
      </c>
      <c r="AJ61" s="141"/>
    </row>
    <row r="62" spans="1:36" s="140" customFormat="1" ht="15" customHeight="1">
      <c r="A62" s="143" t="s">
        <v>11</v>
      </c>
      <c r="B62" s="138">
        <f>4441.9-400</f>
        <v>4041.8999999999996</v>
      </c>
      <c r="C62" s="138">
        <v>5154.400000000001</v>
      </c>
      <c r="D62" s="139"/>
      <c r="E62" s="139">
        <v>193</v>
      </c>
      <c r="F62" s="139"/>
      <c r="G62" s="139">
        <v>4</v>
      </c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>
        <f t="shared" si="13"/>
        <v>197</v>
      </c>
      <c r="AH62" s="139">
        <f t="shared" si="14"/>
        <v>8999.3</v>
      </c>
      <c r="AJ62" s="141"/>
    </row>
    <row r="63" spans="1:36" s="140" customFormat="1" ht="15.75">
      <c r="A63" s="137" t="s">
        <v>5</v>
      </c>
      <c r="B63" s="138">
        <v>2680.6</v>
      </c>
      <c r="C63" s="138">
        <v>755.3999999999996</v>
      </c>
      <c r="D63" s="139"/>
      <c r="E63" s="139">
        <v>193</v>
      </c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>
        <f t="shared" si="13"/>
        <v>193</v>
      </c>
      <c r="AH63" s="139">
        <f t="shared" si="14"/>
        <v>3242.9999999999995</v>
      </c>
      <c r="AI63" s="155"/>
      <c r="AJ63" s="141"/>
    </row>
    <row r="64" spans="1:36" s="140" customFormat="1" ht="15.75" hidden="1">
      <c r="A64" s="137" t="s">
        <v>3</v>
      </c>
      <c r="B64" s="138"/>
      <c r="C64" s="138">
        <v>0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>
        <f t="shared" si="13"/>
        <v>0</v>
      </c>
      <c r="AH64" s="139">
        <f t="shared" si="14"/>
        <v>0</v>
      </c>
      <c r="AI64" s="141"/>
      <c r="AJ64" s="141"/>
    </row>
    <row r="65" spans="1:36" s="140" customFormat="1" ht="15.75">
      <c r="A65" s="137" t="s">
        <v>1</v>
      </c>
      <c r="B65" s="138">
        <v>284.4</v>
      </c>
      <c r="C65" s="138">
        <v>745.5</v>
      </c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>
        <f t="shared" si="13"/>
        <v>0</v>
      </c>
      <c r="AH65" s="139">
        <f t="shared" si="14"/>
        <v>1029.9</v>
      </c>
      <c r="AI65" s="141"/>
      <c r="AJ65" s="141"/>
    </row>
    <row r="66" spans="1:36" s="140" customFormat="1" ht="15.75">
      <c r="A66" s="137" t="s">
        <v>2</v>
      </c>
      <c r="B66" s="138">
        <v>30.3</v>
      </c>
      <c r="C66" s="138">
        <v>104.69999999999997</v>
      </c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>
        <f t="shared" si="13"/>
        <v>0</v>
      </c>
      <c r="AH66" s="139">
        <f t="shared" si="14"/>
        <v>134.99999999999997</v>
      </c>
      <c r="AJ66" s="141"/>
    </row>
    <row r="67" spans="1:36" s="140" customFormat="1" ht="15.75">
      <c r="A67" s="137" t="s">
        <v>16</v>
      </c>
      <c r="B67" s="138">
        <v>308</v>
      </c>
      <c r="C67" s="138">
        <v>567.7</v>
      </c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>
        <f t="shared" si="13"/>
        <v>0</v>
      </c>
      <c r="AH67" s="139">
        <f t="shared" si="14"/>
        <v>875.7</v>
      </c>
      <c r="AJ67" s="141"/>
    </row>
    <row r="68" spans="1:36" s="140" customFormat="1" ht="15.75">
      <c r="A68" s="137" t="s">
        <v>23</v>
      </c>
      <c r="B68" s="138">
        <f aca="true" t="shared" si="15" ref="B68:AE68">B62-B63-B66-B67-B65-B64</f>
        <v>738.5999999999998</v>
      </c>
      <c r="C68" s="138">
        <v>2981.1000000000013</v>
      </c>
      <c r="D68" s="139">
        <f t="shared" si="15"/>
        <v>0</v>
      </c>
      <c r="E68" s="139">
        <f t="shared" si="15"/>
        <v>0</v>
      </c>
      <c r="F68" s="139">
        <f t="shared" si="15"/>
        <v>0</v>
      </c>
      <c r="G68" s="139">
        <f t="shared" si="15"/>
        <v>4</v>
      </c>
      <c r="H68" s="139">
        <f>H62-H63-H66-H67-H65-H64</f>
        <v>0</v>
      </c>
      <c r="I68" s="139">
        <f t="shared" si="15"/>
        <v>0</v>
      </c>
      <c r="J68" s="139">
        <f t="shared" si="15"/>
        <v>0</v>
      </c>
      <c r="K68" s="139">
        <f t="shared" si="15"/>
        <v>0</v>
      </c>
      <c r="L68" s="139">
        <f t="shared" si="15"/>
        <v>0</v>
      </c>
      <c r="M68" s="139">
        <f t="shared" si="15"/>
        <v>0</v>
      </c>
      <c r="N68" s="139">
        <f t="shared" si="15"/>
        <v>0</v>
      </c>
      <c r="O68" s="139">
        <f t="shared" si="15"/>
        <v>0</v>
      </c>
      <c r="P68" s="139">
        <f t="shared" si="15"/>
        <v>0</v>
      </c>
      <c r="Q68" s="139">
        <f t="shared" si="15"/>
        <v>0</v>
      </c>
      <c r="R68" s="139">
        <f t="shared" si="15"/>
        <v>0</v>
      </c>
      <c r="S68" s="139">
        <f t="shared" si="15"/>
        <v>0</v>
      </c>
      <c r="T68" s="139">
        <f t="shared" si="15"/>
        <v>0</v>
      </c>
      <c r="U68" s="139">
        <f t="shared" si="15"/>
        <v>0</v>
      </c>
      <c r="V68" s="139">
        <f t="shared" si="15"/>
        <v>0</v>
      </c>
      <c r="W68" s="139">
        <f t="shared" si="15"/>
        <v>0</v>
      </c>
      <c r="X68" s="139">
        <f t="shared" si="15"/>
        <v>0</v>
      </c>
      <c r="Y68" s="139">
        <f t="shared" si="15"/>
        <v>0</v>
      </c>
      <c r="Z68" s="139">
        <f t="shared" si="15"/>
        <v>0</v>
      </c>
      <c r="AA68" s="139">
        <f t="shared" si="15"/>
        <v>0</v>
      </c>
      <c r="AB68" s="139">
        <f t="shared" si="15"/>
        <v>0</v>
      </c>
      <c r="AC68" s="139">
        <f t="shared" si="15"/>
        <v>0</v>
      </c>
      <c r="AD68" s="139">
        <f t="shared" si="15"/>
        <v>0</v>
      </c>
      <c r="AE68" s="139">
        <f t="shared" si="15"/>
        <v>0</v>
      </c>
      <c r="AF68" s="139"/>
      <c r="AG68" s="139">
        <f t="shared" si="13"/>
        <v>4</v>
      </c>
      <c r="AH68" s="139">
        <f>AH62-AH63-AH66-AH67-AH65-AH64</f>
        <v>3715.6999999999994</v>
      </c>
      <c r="AJ68" s="141"/>
    </row>
    <row r="69" spans="1:36" s="140" customFormat="1" ht="31.5">
      <c r="A69" s="143" t="s">
        <v>45</v>
      </c>
      <c r="B69" s="138">
        <v>2253.9</v>
      </c>
      <c r="C69" s="138">
        <v>43.700000000000045</v>
      </c>
      <c r="D69" s="139"/>
      <c r="E69" s="139"/>
      <c r="F69" s="139">
        <v>941.7</v>
      </c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>
        <f t="shared" si="13"/>
        <v>941.7</v>
      </c>
      <c r="AH69" s="181">
        <f aca="true" t="shared" si="16" ref="AH69:AH92">B69+C69-AG69</f>
        <v>1355.9000000000003</v>
      </c>
      <c r="AJ69" s="141"/>
    </row>
    <row r="70" spans="1:36" s="140" customFormat="1" ht="15.75" hidden="1">
      <c r="A70" s="143" t="s">
        <v>32</v>
      </c>
      <c r="B70" s="138"/>
      <c r="C70" s="138">
        <v>0</v>
      </c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>
        <f t="shared" si="13"/>
        <v>0</v>
      </c>
      <c r="AH70" s="181">
        <f t="shared" si="16"/>
        <v>0</v>
      </c>
      <c r="AJ70" s="141"/>
    </row>
    <row r="71" spans="1:51" s="140" customFormat="1" ht="31.5">
      <c r="A71" s="143" t="s">
        <v>46</v>
      </c>
      <c r="B71" s="138">
        <v>1001.1</v>
      </c>
      <c r="C71" s="182">
        <v>457.4000000000001</v>
      </c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39">
        <f t="shared" si="13"/>
        <v>0</v>
      </c>
      <c r="AH71" s="181">
        <f t="shared" si="16"/>
        <v>1458.5</v>
      </c>
      <c r="AI71" s="191"/>
      <c r="AJ71" s="141"/>
      <c r="AK71" s="191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</row>
    <row r="72" spans="1:36" s="140" customFormat="1" ht="15" customHeight="1">
      <c r="A72" s="143" t="s">
        <v>47</v>
      </c>
      <c r="B72" s="151">
        <f>40+40+49.5+25+28+494.3+39.7+41+96+43+328.2+25+4+775.1+30-154.3-700-21</f>
        <v>1183.5000000000002</v>
      </c>
      <c r="C72" s="138">
        <v>3018.8</v>
      </c>
      <c r="D72" s="139"/>
      <c r="E72" s="139">
        <v>46.7</v>
      </c>
      <c r="F72" s="139">
        <f>11.1+109.9+12.5</f>
        <v>133.5</v>
      </c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>
        <f t="shared" si="13"/>
        <v>180.2</v>
      </c>
      <c r="AH72" s="181">
        <f t="shared" si="16"/>
        <v>4022.1000000000004</v>
      </c>
      <c r="AJ72" s="141"/>
    </row>
    <row r="73" spans="1:36" s="140" customFormat="1" ht="15" customHeight="1">
      <c r="A73" s="137" t="s">
        <v>5</v>
      </c>
      <c r="B73" s="138">
        <v>0</v>
      </c>
      <c r="C73" s="138">
        <v>0</v>
      </c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>
        <f t="shared" si="13"/>
        <v>0</v>
      </c>
      <c r="AH73" s="181">
        <f t="shared" si="16"/>
        <v>0</v>
      </c>
      <c r="AJ73" s="141"/>
    </row>
    <row r="74" spans="1:36" s="140" customFormat="1" ht="15" customHeight="1">
      <c r="A74" s="137" t="s">
        <v>2</v>
      </c>
      <c r="B74" s="138">
        <f>88+31-0.1</f>
        <v>118.9</v>
      </c>
      <c r="C74" s="138">
        <v>597.5</v>
      </c>
      <c r="D74" s="139"/>
      <c r="E74" s="139"/>
      <c r="F74" s="139">
        <v>11.1</v>
      </c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>
        <f t="shared" si="13"/>
        <v>11.1</v>
      </c>
      <c r="AH74" s="181">
        <f t="shared" si="16"/>
        <v>705.3</v>
      </c>
      <c r="AJ74" s="141"/>
    </row>
    <row r="75" spans="1:36" s="140" customFormat="1" ht="15" customHeight="1">
      <c r="A75" s="137" t="s">
        <v>16</v>
      </c>
      <c r="B75" s="138">
        <f>15+14.2</f>
        <v>29.2</v>
      </c>
      <c r="C75" s="138">
        <v>121.6</v>
      </c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>
        <f t="shared" si="13"/>
        <v>0</v>
      </c>
      <c r="AH75" s="181">
        <f t="shared" si="16"/>
        <v>150.79999999999998</v>
      </c>
      <c r="AJ75" s="141"/>
    </row>
    <row r="76" spans="1:36" s="192" customFormat="1" ht="15.75">
      <c r="A76" s="183" t="s">
        <v>48</v>
      </c>
      <c r="B76" s="138">
        <f>743.8+242.3</f>
        <v>986.0999999999999</v>
      </c>
      <c r="C76" s="138">
        <v>43.799999999999955</v>
      </c>
      <c r="D76" s="139"/>
      <c r="E76" s="152"/>
      <c r="F76" s="152">
        <v>21.4</v>
      </c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39">
        <f t="shared" si="13"/>
        <v>21.4</v>
      </c>
      <c r="AH76" s="181">
        <f t="shared" si="16"/>
        <v>1008.4999999999999</v>
      </c>
      <c r="AJ76" s="141"/>
    </row>
    <row r="77" spans="1:36" s="192" customFormat="1" ht="15.75">
      <c r="A77" s="137" t="s">
        <v>5</v>
      </c>
      <c r="B77" s="138">
        <v>199.6</v>
      </c>
      <c r="C77" s="138">
        <v>16.899999999999977</v>
      </c>
      <c r="D77" s="139"/>
      <c r="E77" s="152"/>
      <c r="F77" s="152">
        <v>20.9</v>
      </c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39">
        <f t="shared" si="13"/>
        <v>20.9</v>
      </c>
      <c r="AH77" s="181">
        <f t="shared" si="16"/>
        <v>195.59999999999997</v>
      </c>
      <c r="AJ77" s="141"/>
    </row>
    <row r="78" spans="1:36" s="192" customFormat="1" ht="15.75" hidden="1">
      <c r="A78" s="137" t="s">
        <v>3</v>
      </c>
      <c r="B78" s="138"/>
      <c r="C78" s="138">
        <v>0</v>
      </c>
      <c r="D78" s="139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39">
        <f t="shared" si="13"/>
        <v>0</v>
      </c>
      <c r="AH78" s="181">
        <f t="shared" si="16"/>
        <v>0</v>
      </c>
      <c r="AJ78" s="141"/>
    </row>
    <row r="79" spans="1:36" s="192" customFormat="1" ht="15.75" hidden="1">
      <c r="A79" s="137" t="s">
        <v>1</v>
      </c>
      <c r="B79" s="138"/>
      <c r="C79" s="138">
        <v>0</v>
      </c>
      <c r="D79" s="139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39">
        <f t="shared" si="13"/>
        <v>0</v>
      </c>
      <c r="AH79" s="181">
        <f t="shared" si="16"/>
        <v>0</v>
      </c>
      <c r="AJ79" s="141"/>
    </row>
    <row r="80" spans="1:36" s="192" customFormat="1" ht="15.75">
      <c r="A80" s="137" t="s">
        <v>2</v>
      </c>
      <c r="B80" s="138">
        <v>0.6</v>
      </c>
      <c r="C80" s="138">
        <v>2.0000000000000013</v>
      </c>
      <c r="D80" s="139"/>
      <c r="E80" s="152"/>
      <c r="F80" s="152">
        <v>0.5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39">
        <f t="shared" si="13"/>
        <v>0.5</v>
      </c>
      <c r="AH80" s="181">
        <f t="shared" si="16"/>
        <v>2.1000000000000014</v>
      </c>
      <c r="AJ80" s="141"/>
    </row>
    <row r="81" spans="1:36" s="112" customFormat="1" ht="15.75">
      <c r="A81" s="183" t="s">
        <v>49</v>
      </c>
      <c r="B81" s="138">
        <v>0</v>
      </c>
      <c r="C81" s="182">
        <v>0</v>
      </c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39">
        <f t="shared" si="13"/>
        <v>0</v>
      </c>
      <c r="AH81" s="181">
        <f t="shared" si="16"/>
        <v>0</v>
      </c>
      <c r="AJ81" s="21"/>
    </row>
    <row r="82" spans="1:36" s="112" customFormat="1" ht="15.75" hidden="1">
      <c r="A82" s="183" t="s">
        <v>41</v>
      </c>
      <c r="B82" s="138"/>
      <c r="C82" s="182">
        <v>0</v>
      </c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39">
        <f t="shared" si="13"/>
        <v>0</v>
      </c>
      <c r="AH82" s="181">
        <f t="shared" si="16"/>
        <v>0</v>
      </c>
      <c r="AJ82" s="21"/>
    </row>
    <row r="83" spans="1:36" s="112" customFormat="1" ht="15.75" hidden="1">
      <c r="A83" s="183" t="s">
        <v>40</v>
      </c>
      <c r="B83" s="182"/>
      <c r="C83" s="182">
        <v>0</v>
      </c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39">
        <f t="shared" si="13"/>
        <v>0</v>
      </c>
      <c r="AH83" s="139">
        <f t="shared" si="16"/>
        <v>0</v>
      </c>
      <c r="AJ83" s="21"/>
    </row>
    <row r="84" spans="1:36" s="112" customFormat="1" ht="15.75" hidden="1">
      <c r="A84" s="184" t="s">
        <v>21</v>
      </c>
      <c r="B84" s="138"/>
      <c r="C84" s="182">
        <v>0</v>
      </c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39">
        <f t="shared" si="13"/>
        <v>0</v>
      </c>
      <c r="AH84" s="139">
        <f t="shared" si="16"/>
        <v>0</v>
      </c>
      <c r="AJ84" s="21"/>
    </row>
    <row r="85" spans="1:36" s="112" customFormat="1" ht="15.75" hidden="1">
      <c r="A85" s="184" t="s">
        <v>22</v>
      </c>
      <c r="B85" s="138"/>
      <c r="C85" s="182">
        <v>0</v>
      </c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39">
        <f t="shared" si="13"/>
        <v>0</v>
      </c>
      <c r="AH85" s="139">
        <f t="shared" si="16"/>
        <v>0</v>
      </c>
      <c r="AJ85" s="21"/>
    </row>
    <row r="86" spans="1:36" s="112" customFormat="1" ht="31.5" hidden="1">
      <c r="A86" s="184" t="s">
        <v>24</v>
      </c>
      <c r="B86" s="138"/>
      <c r="C86" s="182">
        <v>0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39">
        <f t="shared" si="13"/>
        <v>0</v>
      </c>
      <c r="AH86" s="139">
        <f t="shared" si="16"/>
        <v>0</v>
      </c>
      <c r="AJ86" s="21"/>
    </row>
    <row r="87" spans="1:36" s="112" customFormat="1" ht="31.5" hidden="1">
      <c r="A87" s="184" t="s">
        <v>28</v>
      </c>
      <c r="B87" s="138"/>
      <c r="C87" s="182">
        <v>0</v>
      </c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39">
        <f t="shared" si="13"/>
        <v>0</v>
      </c>
      <c r="AH87" s="139">
        <f t="shared" si="16"/>
        <v>0</v>
      </c>
      <c r="AJ87" s="21"/>
    </row>
    <row r="88" spans="1:36" s="18" customFormat="1" ht="15.75">
      <c r="A88" s="143" t="s">
        <v>58</v>
      </c>
      <c r="B88" s="138">
        <v>398</v>
      </c>
      <c r="C88" s="138">
        <v>0</v>
      </c>
      <c r="D88" s="139"/>
      <c r="E88" s="139"/>
      <c r="F88" s="139">
        <v>398</v>
      </c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>
        <f t="shared" si="13"/>
        <v>398</v>
      </c>
      <c r="AH88" s="139">
        <f t="shared" si="16"/>
        <v>0</v>
      </c>
      <c r="AI88" s="112"/>
      <c r="AJ88" s="21"/>
    </row>
    <row r="89" spans="1:36" s="18" customFormat="1" ht="15.75">
      <c r="A89" s="143" t="s">
        <v>50</v>
      </c>
      <c r="B89" s="138">
        <f>13601.2+4158.2</f>
        <v>17759.4</v>
      </c>
      <c r="C89" s="138">
        <v>828.5</v>
      </c>
      <c r="D89" s="139"/>
      <c r="E89" s="139"/>
      <c r="F89" s="139">
        <v>1551.1</v>
      </c>
      <c r="G89" s="139">
        <v>4423</v>
      </c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>
        <f t="shared" si="13"/>
        <v>5974.1</v>
      </c>
      <c r="AH89" s="139">
        <f t="shared" si="16"/>
        <v>12613.800000000001</v>
      </c>
      <c r="AI89" s="112"/>
      <c r="AJ89" s="21"/>
    </row>
    <row r="90" spans="1:36" s="18" customFormat="1" ht="15.75">
      <c r="A90" s="143" t="s">
        <v>51</v>
      </c>
      <c r="B90" s="138">
        <v>5660.4</v>
      </c>
      <c r="C90" s="138">
        <v>0</v>
      </c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>
        <f t="shared" si="13"/>
        <v>0</v>
      </c>
      <c r="AH90" s="139">
        <f t="shared" si="16"/>
        <v>5660.4</v>
      </c>
      <c r="AI90" s="112"/>
      <c r="AJ90" s="21"/>
    </row>
    <row r="91" spans="1:36" s="18" customFormat="1" ht="15.75">
      <c r="A91" s="143" t="s">
        <v>25</v>
      </c>
      <c r="B91" s="138">
        <v>15</v>
      </c>
      <c r="C91" s="138">
        <v>65</v>
      </c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>
        <f t="shared" si="13"/>
        <v>0</v>
      </c>
      <c r="AH91" s="139">
        <f t="shared" si="16"/>
        <v>80</v>
      </c>
      <c r="AI91" s="112"/>
      <c r="AJ91" s="21"/>
    </row>
    <row r="92" spans="1:35" s="18" customFormat="1" ht="15.75">
      <c r="A92" s="143" t="s">
        <v>37</v>
      </c>
      <c r="B92" s="138">
        <f>33109.6+400+164.1-3215.3</f>
        <v>30458.399999999998</v>
      </c>
      <c r="C92" s="138">
        <v>0</v>
      </c>
      <c r="D92" s="139">
        <v>18523</v>
      </c>
      <c r="E92" s="139">
        <v>1876.7</v>
      </c>
      <c r="F92" s="139">
        <v>-4752.8</v>
      </c>
      <c r="G92" s="139">
        <v>-1622.1</v>
      </c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>
        <f t="shared" si="13"/>
        <v>14024.800000000001</v>
      </c>
      <c r="AH92" s="139">
        <f t="shared" si="16"/>
        <v>16433.6</v>
      </c>
      <c r="AI92" s="115"/>
    </row>
    <row r="93" spans="1:34" s="18" customFormat="1" ht="15.75">
      <c r="A93" s="185"/>
      <c r="B93" s="138"/>
      <c r="C93" s="138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</row>
    <row r="94" spans="1:34" s="134" customFormat="1" ht="15.75">
      <c r="A94" s="185" t="s">
        <v>27</v>
      </c>
      <c r="B94" s="186">
        <f aca="true" t="shared" si="17" ref="B94:Z94">B10+B15+B24+B33+B47+B52+B54+B61+B62+B69+B71+B72+B76+B81+B82+B83+B88+B89+B90+B91+B40+B92+B70</f>
        <v>189486.9</v>
      </c>
      <c r="C94" s="186">
        <f t="shared" si="17"/>
        <v>67226.46300000006</v>
      </c>
      <c r="D94" s="187">
        <f t="shared" si="17"/>
        <v>18523</v>
      </c>
      <c r="E94" s="187">
        <f t="shared" si="17"/>
        <v>7287.4</v>
      </c>
      <c r="F94" s="187">
        <f t="shared" si="17"/>
        <v>5701.399999999999</v>
      </c>
      <c r="G94" s="187">
        <f t="shared" si="17"/>
        <v>3391.4</v>
      </c>
      <c r="H94" s="187">
        <f>H10+H15+H24+H33+H47+H52+H54+H61+H62+H69+H71+H72+H76+H81+H82+H83+H88+H89+H90+H91+H40+H92+H70</f>
        <v>0</v>
      </c>
      <c r="I94" s="187">
        <f t="shared" si="17"/>
        <v>0</v>
      </c>
      <c r="J94" s="187">
        <f t="shared" si="17"/>
        <v>0</v>
      </c>
      <c r="K94" s="187">
        <f t="shared" si="17"/>
        <v>0</v>
      </c>
      <c r="L94" s="187">
        <f t="shared" si="17"/>
        <v>0</v>
      </c>
      <c r="M94" s="187">
        <f t="shared" si="17"/>
        <v>0</v>
      </c>
      <c r="N94" s="187">
        <f t="shared" si="17"/>
        <v>0</v>
      </c>
      <c r="O94" s="187">
        <f t="shared" si="17"/>
        <v>0</v>
      </c>
      <c r="P94" s="187">
        <f t="shared" si="17"/>
        <v>0</v>
      </c>
      <c r="Q94" s="187">
        <f t="shared" si="17"/>
        <v>0</v>
      </c>
      <c r="R94" s="187">
        <f t="shared" si="17"/>
        <v>0</v>
      </c>
      <c r="S94" s="187">
        <f t="shared" si="17"/>
        <v>0</v>
      </c>
      <c r="T94" s="187">
        <f t="shared" si="17"/>
        <v>0</v>
      </c>
      <c r="U94" s="187">
        <f t="shared" si="17"/>
        <v>0</v>
      </c>
      <c r="V94" s="187">
        <f t="shared" si="17"/>
        <v>0</v>
      </c>
      <c r="W94" s="187">
        <f t="shared" si="17"/>
        <v>0</v>
      </c>
      <c r="X94" s="187">
        <f t="shared" si="17"/>
        <v>0</v>
      </c>
      <c r="Y94" s="187">
        <f t="shared" si="17"/>
        <v>0</v>
      </c>
      <c r="Z94" s="187">
        <f t="shared" si="17"/>
        <v>0</v>
      </c>
      <c r="AA94" s="187">
        <f>AA10+AA15+AA24+AA33+AA47+AA52+AA54+AA61+AA62+AA69+AA71+AA72+AA76+AA81+AA82+AA83+AA88+AA89+AA90+AA91+AA40</f>
        <v>0</v>
      </c>
      <c r="AB94" s="187">
        <f>AB10+AB15+AB24+AB33+AB47+AB52+AB54+AB61+AB62+AB69+AB71+AB72+AB76+AB81+AB82+AB83+AB88+AB89+AB90+AB91+AB40</f>
        <v>0</v>
      </c>
      <c r="AC94" s="187">
        <f>AC10+AC15+AC24+AC33+AC47+AC52+AC54+AC61+AC62+AC69+AC71+AC72+AC76+AC81+AC82+AC83+AC88+AC89+AC90+AC91+AC40</f>
        <v>0</v>
      </c>
      <c r="AD94" s="187">
        <f>AD10+AD15+AD24+AD33+AD47+AD52+AD54+AD61+AD62+AD69+AD71+AD72+AD76+AD81+AD82+AD83+AD88+AD89+AD90+AD91+AD40</f>
        <v>0</v>
      </c>
      <c r="AE94" s="187">
        <f>AE10+AE15+AE24+AE33+AE47+AE52+AE54+AE61+AE62+AE69+AE71+AE72+AE76+AE81+AE82+AE83+AE88+AE89+AE90+AE91+AE40</f>
        <v>0</v>
      </c>
      <c r="AF94" s="187"/>
      <c r="AG94" s="187">
        <f>AG10+AG15+AG24+AG33+AG47+AG52+AG54+AG61+AG62+AG69+AG71+AG72+AG76+AG81+AG82+AG83+AG88+AG89+AG90+AG91+AG70+AG40+AG92</f>
        <v>34903.2</v>
      </c>
      <c r="AH94" s="187">
        <f>AH10+AH15+AH24+AH33+AH47+AH52+AH54+AH61+AH62+AH69+AH71+AH72+AH76+AH81+AH82+AH83+AH88+AH89+AH90+AH91+AH70+AH40+AH92</f>
        <v>221810.16299999997</v>
      </c>
    </row>
    <row r="95" spans="1:34" s="18" customFormat="1" ht="15.75">
      <c r="A95" s="137" t="s">
        <v>5</v>
      </c>
      <c r="B95" s="138">
        <f aca="true" t="shared" si="18" ref="B95:AE95">B11+B17+B26+B34+B55+B63+B73+B41+B77+B48</f>
        <v>59569.49999999999</v>
      </c>
      <c r="C95" s="138">
        <f t="shared" si="18"/>
        <v>17228.559999999987</v>
      </c>
      <c r="D95" s="139">
        <f t="shared" si="18"/>
        <v>0</v>
      </c>
      <c r="E95" s="139">
        <f t="shared" si="18"/>
        <v>4609.6</v>
      </c>
      <c r="F95" s="139">
        <f t="shared" si="18"/>
        <v>2442.9000000000005</v>
      </c>
      <c r="G95" s="139">
        <f t="shared" si="18"/>
        <v>247.2</v>
      </c>
      <c r="H95" s="139">
        <f>H11+H17+H26+H34+H55+H63+H73+H41+H77+H48</f>
        <v>0</v>
      </c>
      <c r="I95" s="139">
        <f t="shared" si="18"/>
        <v>0</v>
      </c>
      <c r="J95" s="139">
        <f t="shared" si="18"/>
        <v>0</v>
      </c>
      <c r="K95" s="139">
        <f t="shared" si="18"/>
        <v>0</v>
      </c>
      <c r="L95" s="139">
        <f t="shared" si="18"/>
        <v>0</v>
      </c>
      <c r="M95" s="139">
        <f t="shared" si="18"/>
        <v>0</v>
      </c>
      <c r="N95" s="139">
        <f t="shared" si="18"/>
        <v>0</v>
      </c>
      <c r="O95" s="139">
        <f t="shared" si="18"/>
        <v>0</v>
      </c>
      <c r="P95" s="139">
        <f t="shared" si="18"/>
        <v>0</v>
      </c>
      <c r="Q95" s="139">
        <f t="shared" si="18"/>
        <v>0</v>
      </c>
      <c r="R95" s="139">
        <f t="shared" si="18"/>
        <v>0</v>
      </c>
      <c r="S95" s="139">
        <f t="shared" si="18"/>
        <v>0</v>
      </c>
      <c r="T95" s="139">
        <f t="shared" si="18"/>
        <v>0</v>
      </c>
      <c r="U95" s="139">
        <f t="shared" si="18"/>
        <v>0</v>
      </c>
      <c r="V95" s="139">
        <f t="shared" si="18"/>
        <v>0</v>
      </c>
      <c r="W95" s="139">
        <f>W11+W17+W26+W34+W55+W63+W73+W41+W77+W48</f>
        <v>0</v>
      </c>
      <c r="X95" s="139">
        <f t="shared" si="18"/>
        <v>0</v>
      </c>
      <c r="Y95" s="139">
        <f t="shared" si="18"/>
        <v>0</v>
      </c>
      <c r="Z95" s="139">
        <f t="shared" si="18"/>
        <v>0</v>
      </c>
      <c r="AA95" s="139">
        <f t="shared" si="18"/>
        <v>0</v>
      </c>
      <c r="AB95" s="139">
        <f t="shared" si="18"/>
        <v>0</v>
      </c>
      <c r="AC95" s="139">
        <f t="shared" si="18"/>
        <v>0</v>
      </c>
      <c r="AD95" s="139">
        <f t="shared" si="18"/>
        <v>0</v>
      </c>
      <c r="AE95" s="139">
        <f t="shared" si="18"/>
        <v>0</v>
      </c>
      <c r="AF95" s="139"/>
      <c r="AG95" s="139">
        <f>SUM(D95:AE95)</f>
        <v>7299.700000000001</v>
      </c>
      <c r="AH95" s="139">
        <f>B95+C95-AG95</f>
        <v>69498.35999999999</v>
      </c>
    </row>
    <row r="96" spans="1:34" s="18" customFormat="1" ht="15.75">
      <c r="A96" s="137" t="s">
        <v>2</v>
      </c>
      <c r="B96" s="138">
        <f aca="true" t="shared" si="19" ref="B96:AE96">B12+B20+B29+B36+B57+B66+B44+B80+B74+B53</f>
        <v>3273.7</v>
      </c>
      <c r="C96" s="138">
        <f t="shared" si="19"/>
        <v>8923.899999999998</v>
      </c>
      <c r="D96" s="139">
        <f t="shared" si="19"/>
        <v>0</v>
      </c>
      <c r="E96" s="139">
        <f t="shared" si="19"/>
        <v>83.7</v>
      </c>
      <c r="F96" s="139">
        <f t="shared" si="19"/>
        <v>878.6</v>
      </c>
      <c r="G96" s="139">
        <f t="shared" si="19"/>
        <v>99.39999999999999</v>
      </c>
      <c r="H96" s="139">
        <f>H12+H20+H29+H36+H57+H66+H44+H80+H74+H53</f>
        <v>0</v>
      </c>
      <c r="I96" s="139">
        <f t="shared" si="19"/>
        <v>0</v>
      </c>
      <c r="J96" s="139">
        <f t="shared" si="19"/>
        <v>0</v>
      </c>
      <c r="K96" s="139">
        <f t="shared" si="19"/>
        <v>0</v>
      </c>
      <c r="L96" s="139">
        <f t="shared" si="19"/>
        <v>0</v>
      </c>
      <c r="M96" s="139">
        <f t="shared" si="19"/>
        <v>0</v>
      </c>
      <c r="N96" s="139">
        <f t="shared" si="19"/>
        <v>0</v>
      </c>
      <c r="O96" s="139">
        <f t="shared" si="19"/>
        <v>0</v>
      </c>
      <c r="P96" s="139">
        <f t="shared" si="19"/>
        <v>0</v>
      </c>
      <c r="Q96" s="139">
        <f t="shared" si="19"/>
        <v>0</v>
      </c>
      <c r="R96" s="139">
        <f t="shared" si="19"/>
        <v>0</v>
      </c>
      <c r="S96" s="139">
        <f t="shared" si="19"/>
        <v>0</v>
      </c>
      <c r="T96" s="139">
        <f t="shared" si="19"/>
        <v>0</v>
      </c>
      <c r="U96" s="139">
        <f t="shared" si="19"/>
        <v>0</v>
      </c>
      <c r="V96" s="139">
        <f t="shared" si="19"/>
        <v>0</v>
      </c>
      <c r="W96" s="139">
        <f t="shared" si="19"/>
        <v>0</v>
      </c>
      <c r="X96" s="139">
        <f t="shared" si="19"/>
        <v>0</v>
      </c>
      <c r="Y96" s="139">
        <f t="shared" si="19"/>
        <v>0</v>
      </c>
      <c r="Z96" s="139">
        <f t="shared" si="19"/>
        <v>0</v>
      </c>
      <c r="AA96" s="139">
        <f t="shared" si="19"/>
        <v>0</v>
      </c>
      <c r="AB96" s="139">
        <f t="shared" si="19"/>
        <v>0</v>
      </c>
      <c r="AC96" s="139">
        <f t="shared" si="19"/>
        <v>0</v>
      </c>
      <c r="AD96" s="139">
        <f t="shared" si="19"/>
        <v>0</v>
      </c>
      <c r="AE96" s="139">
        <f t="shared" si="19"/>
        <v>0</v>
      </c>
      <c r="AF96" s="139"/>
      <c r="AG96" s="139">
        <f>SUM(D96:AE96)</f>
        <v>1061.7</v>
      </c>
      <c r="AH96" s="139">
        <f>B96+C96-AG96</f>
        <v>11135.899999999998</v>
      </c>
    </row>
    <row r="97" spans="1:34" s="18" customFormat="1" ht="15.75">
      <c r="A97" s="137" t="s">
        <v>3</v>
      </c>
      <c r="B97" s="138">
        <f aca="true" t="shared" si="20" ref="B97:AB97">B18+B27+B42+B64+B78</f>
        <v>0</v>
      </c>
      <c r="C97" s="138">
        <f t="shared" si="20"/>
        <v>15.500000000000002</v>
      </c>
      <c r="D97" s="139">
        <f t="shared" si="20"/>
        <v>0</v>
      </c>
      <c r="E97" s="139">
        <f t="shared" si="20"/>
        <v>0</v>
      </c>
      <c r="F97" s="139">
        <f t="shared" si="20"/>
        <v>0.9</v>
      </c>
      <c r="G97" s="139">
        <f t="shared" si="20"/>
        <v>0</v>
      </c>
      <c r="H97" s="139">
        <f>H18+H27+H42+H64+H78</f>
        <v>0</v>
      </c>
      <c r="I97" s="139">
        <f t="shared" si="20"/>
        <v>0</v>
      </c>
      <c r="J97" s="139">
        <f t="shared" si="20"/>
        <v>0</v>
      </c>
      <c r="K97" s="139">
        <f t="shared" si="20"/>
        <v>0</v>
      </c>
      <c r="L97" s="139">
        <f t="shared" si="20"/>
        <v>0</v>
      </c>
      <c r="M97" s="139">
        <f t="shared" si="20"/>
        <v>0</v>
      </c>
      <c r="N97" s="139">
        <f t="shared" si="20"/>
        <v>0</v>
      </c>
      <c r="O97" s="139">
        <f t="shared" si="20"/>
        <v>0</v>
      </c>
      <c r="P97" s="139">
        <f t="shared" si="20"/>
        <v>0</v>
      </c>
      <c r="Q97" s="139">
        <f t="shared" si="20"/>
        <v>0</v>
      </c>
      <c r="R97" s="139">
        <f t="shared" si="20"/>
        <v>0</v>
      </c>
      <c r="S97" s="139">
        <f t="shared" si="20"/>
        <v>0</v>
      </c>
      <c r="T97" s="139">
        <f t="shared" si="20"/>
        <v>0</v>
      </c>
      <c r="U97" s="139">
        <f t="shared" si="20"/>
        <v>0</v>
      </c>
      <c r="V97" s="139">
        <f t="shared" si="20"/>
        <v>0</v>
      </c>
      <c r="W97" s="139">
        <f t="shared" si="20"/>
        <v>0</v>
      </c>
      <c r="X97" s="139">
        <f t="shared" si="20"/>
        <v>0</v>
      </c>
      <c r="Y97" s="139">
        <f t="shared" si="20"/>
        <v>0</v>
      </c>
      <c r="Z97" s="139">
        <f t="shared" si="20"/>
        <v>0</v>
      </c>
      <c r="AA97" s="139">
        <f t="shared" si="20"/>
        <v>0</v>
      </c>
      <c r="AB97" s="139">
        <f t="shared" si="20"/>
        <v>0</v>
      </c>
      <c r="AC97" s="139">
        <f>AC18+AC27+AC42+AC64</f>
        <v>0</v>
      </c>
      <c r="AD97" s="139">
        <f>AD18+AD27+AD42+AD64</f>
        <v>0</v>
      </c>
      <c r="AE97" s="139">
        <f>AE18+AE27+AE42+AE64</f>
        <v>0</v>
      </c>
      <c r="AF97" s="139"/>
      <c r="AG97" s="139">
        <f>SUM(D97:AE97)</f>
        <v>0.9</v>
      </c>
      <c r="AH97" s="139">
        <f>B97+C97-AG97</f>
        <v>14.600000000000001</v>
      </c>
    </row>
    <row r="98" spans="1:34" s="18" customFormat="1" ht="15.75">
      <c r="A98" s="137" t="s">
        <v>1</v>
      </c>
      <c r="B98" s="138">
        <f aca="true" t="shared" si="21" ref="B98:AE98">B19+B28+B65+B35+B43+B56+B79</f>
        <v>987.1999999999999</v>
      </c>
      <c r="C98" s="138">
        <f t="shared" si="21"/>
        <v>2604.999999999998</v>
      </c>
      <c r="D98" s="139">
        <f t="shared" si="21"/>
        <v>0</v>
      </c>
      <c r="E98" s="139">
        <f t="shared" si="21"/>
        <v>0</v>
      </c>
      <c r="F98" s="139">
        <f t="shared" si="21"/>
        <v>0.2</v>
      </c>
      <c r="G98" s="139">
        <f t="shared" si="21"/>
        <v>0</v>
      </c>
      <c r="H98" s="139">
        <f>H19+H28+H65+H35+H43+H56+H79</f>
        <v>0</v>
      </c>
      <c r="I98" s="139">
        <f t="shared" si="21"/>
        <v>0</v>
      </c>
      <c r="J98" s="139">
        <f t="shared" si="21"/>
        <v>0</v>
      </c>
      <c r="K98" s="139">
        <f t="shared" si="21"/>
        <v>0</v>
      </c>
      <c r="L98" s="139">
        <f t="shared" si="21"/>
        <v>0</v>
      </c>
      <c r="M98" s="139">
        <f t="shared" si="21"/>
        <v>0</v>
      </c>
      <c r="N98" s="139">
        <f t="shared" si="21"/>
        <v>0</v>
      </c>
      <c r="O98" s="139">
        <f t="shared" si="21"/>
        <v>0</v>
      </c>
      <c r="P98" s="139">
        <f t="shared" si="21"/>
        <v>0</v>
      </c>
      <c r="Q98" s="139">
        <f t="shared" si="21"/>
        <v>0</v>
      </c>
      <c r="R98" s="139">
        <f t="shared" si="21"/>
        <v>0</v>
      </c>
      <c r="S98" s="139">
        <f t="shared" si="21"/>
        <v>0</v>
      </c>
      <c r="T98" s="139">
        <f t="shared" si="21"/>
        <v>0</v>
      </c>
      <c r="U98" s="139">
        <f t="shared" si="21"/>
        <v>0</v>
      </c>
      <c r="V98" s="139">
        <f t="shared" si="21"/>
        <v>0</v>
      </c>
      <c r="W98" s="139">
        <f t="shared" si="21"/>
        <v>0</v>
      </c>
      <c r="X98" s="139">
        <f t="shared" si="21"/>
        <v>0</v>
      </c>
      <c r="Y98" s="139">
        <f t="shared" si="21"/>
        <v>0</v>
      </c>
      <c r="Z98" s="139">
        <f t="shared" si="21"/>
        <v>0</v>
      </c>
      <c r="AA98" s="139">
        <f t="shared" si="21"/>
        <v>0</v>
      </c>
      <c r="AB98" s="139">
        <f t="shared" si="21"/>
        <v>0</v>
      </c>
      <c r="AC98" s="139">
        <f t="shared" si="21"/>
        <v>0</v>
      </c>
      <c r="AD98" s="139">
        <f t="shared" si="21"/>
        <v>0</v>
      </c>
      <c r="AE98" s="139">
        <f t="shared" si="21"/>
        <v>0</v>
      </c>
      <c r="AF98" s="139"/>
      <c r="AG98" s="139">
        <f>SUM(D98:AE98)</f>
        <v>0.2</v>
      </c>
      <c r="AH98" s="139">
        <f>B98+C98-AG98</f>
        <v>3591.999999999998</v>
      </c>
    </row>
    <row r="99" spans="1:34" s="18" customFormat="1" ht="15.75">
      <c r="A99" s="137" t="s">
        <v>16</v>
      </c>
      <c r="B99" s="138">
        <f>B21+B30+B49+B37+B58+B13+B75+B67</f>
        <v>10255.400000000001</v>
      </c>
      <c r="C99" s="138">
        <f aca="true" t="shared" si="22" ref="C99:Y99">C21+C30+C49+C37+C58+C13+C75+C67</f>
        <v>4246.900000000003</v>
      </c>
      <c r="D99" s="139">
        <f t="shared" si="22"/>
        <v>0</v>
      </c>
      <c r="E99" s="139">
        <f t="shared" si="22"/>
        <v>0</v>
      </c>
      <c r="F99" s="139">
        <f t="shared" si="22"/>
        <v>1559.4</v>
      </c>
      <c r="G99" s="139">
        <f t="shared" si="22"/>
        <v>0</v>
      </c>
      <c r="H99" s="139">
        <f>H21+H30+H49+H37+H58+H13+H75+H67</f>
        <v>0</v>
      </c>
      <c r="I99" s="139">
        <f t="shared" si="22"/>
        <v>0</v>
      </c>
      <c r="J99" s="139">
        <f t="shared" si="22"/>
        <v>0</v>
      </c>
      <c r="K99" s="139">
        <f t="shared" si="22"/>
        <v>0</v>
      </c>
      <c r="L99" s="139">
        <f t="shared" si="22"/>
        <v>0</v>
      </c>
      <c r="M99" s="139">
        <f t="shared" si="22"/>
        <v>0</v>
      </c>
      <c r="N99" s="139">
        <f t="shared" si="22"/>
        <v>0</v>
      </c>
      <c r="O99" s="139">
        <f t="shared" si="22"/>
        <v>0</v>
      </c>
      <c r="P99" s="139">
        <f t="shared" si="22"/>
        <v>0</v>
      </c>
      <c r="Q99" s="139">
        <f t="shared" si="22"/>
        <v>0</v>
      </c>
      <c r="R99" s="139">
        <f t="shared" si="22"/>
        <v>0</v>
      </c>
      <c r="S99" s="139">
        <f t="shared" si="22"/>
        <v>0</v>
      </c>
      <c r="T99" s="139">
        <f t="shared" si="22"/>
        <v>0</v>
      </c>
      <c r="U99" s="139">
        <f t="shared" si="22"/>
        <v>0</v>
      </c>
      <c r="V99" s="139">
        <f t="shared" si="22"/>
        <v>0</v>
      </c>
      <c r="W99" s="139">
        <f t="shared" si="22"/>
        <v>0</v>
      </c>
      <c r="X99" s="139">
        <f t="shared" si="22"/>
        <v>0</v>
      </c>
      <c r="Y99" s="139">
        <f t="shared" si="22"/>
        <v>0</v>
      </c>
      <c r="Z99" s="139">
        <f aca="true" t="shared" si="23" ref="Z99:AE99">Z21+Z30+Z49+Z37+Z58+Z13+Z75</f>
        <v>0</v>
      </c>
      <c r="AA99" s="139">
        <f t="shared" si="23"/>
        <v>0</v>
      </c>
      <c r="AB99" s="139">
        <f t="shared" si="23"/>
        <v>0</v>
      </c>
      <c r="AC99" s="139">
        <f t="shared" si="23"/>
        <v>0</v>
      </c>
      <c r="AD99" s="139">
        <f t="shared" si="23"/>
        <v>0</v>
      </c>
      <c r="AE99" s="139">
        <f t="shared" si="23"/>
        <v>0</v>
      </c>
      <c r="AF99" s="139"/>
      <c r="AG99" s="139">
        <f>SUM(D99:AE99)</f>
        <v>1559.4</v>
      </c>
      <c r="AH99" s="139">
        <f>B99+C99-AG99</f>
        <v>12942.900000000005</v>
      </c>
    </row>
    <row r="100" spans="1:34" ht="12.75">
      <c r="A100" s="188" t="s">
        <v>35</v>
      </c>
      <c r="B100" s="189">
        <f>B94-B95-B96-B97-B98-B99</f>
        <v>115401.1</v>
      </c>
      <c r="C100" s="189">
        <f aca="true" t="shared" si="24" ref="C100:AE100">C94-C95-C96-C97-C98-C99</f>
        <v>34206.60300000008</v>
      </c>
      <c r="D100" s="190">
        <f t="shared" si="24"/>
        <v>18523</v>
      </c>
      <c r="E100" s="190">
        <f t="shared" si="24"/>
        <v>2594.0999999999995</v>
      </c>
      <c r="F100" s="190">
        <f t="shared" si="24"/>
        <v>819.3999999999983</v>
      </c>
      <c r="G100" s="190">
        <f t="shared" si="24"/>
        <v>3044.8</v>
      </c>
      <c r="H100" s="190">
        <f>H94-H95-H96-H97-H98-H99</f>
        <v>0</v>
      </c>
      <c r="I100" s="190">
        <f t="shared" si="24"/>
        <v>0</v>
      </c>
      <c r="J100" s="190">
        <f t="shared" si="24"/>
        <v>0</v>
      </c>
      <c r="K100" s="190">
        <f t="shared" si="24"/>
        <v>0</v>
      </c>
      <c r="L100" s="190">
        <f t="shared" si="24"/>
        <v>0</v>
      </c>
      <c r="M100" s="190">
        <f t="shared" si="24"/>
        <v>0</v>
      </c>
      <c r="N100" s="190">
        <f t="shared" si="24"/>
        <v>0</v>
      </c>
      <c r="O100" s="190">
        <f t="shared" si="24"/>
        <v>0</v>
      </c>
      <c r="P100" s="190">
        <f t="shared" si="24"/>
        <v>0</v>
      </c>
      <c r="Q100" s="190">
        <f t="shared" si="24"/>
        <v>0</v>
      </c>
      <c r="R100" s="190">
        <f t="shared" si="24"/>
        <v>0</v>
      </c>
      <c r="S100" s="190">
        <f t="shared" si="24"/>
        <v>0</v>
      </c>
      <c r="T100" s="190">
        <f t="shared" si="24"/>
        <v>0</v>
      </c>
      <c r="U100" s="190">
        <f t="shared" si="24"/>
        <v>0</v>
      </c>
      <c r="V100" s="190">
        <f t="shared" si="24"/>
        <v>0</v>
      </c>
      <c r="W100" s="190">
        <f t="shared" si="24"/>
        <v>0</v>
      </c>
      <c r="X100" s="190">
        <f t="shared" si="24"/>
        <v>0</v>
      </c>
      <c r="Y100" s="190">
        <f t="shared" si="24"/>
        <v>0</v>
      </c>
      <c r="Z100" s="190">
        <f t="shared" si="24"/>
        <v>0</v>
      </c>
      <c r="AA100" s="190">
        <f t="shared" si="24"/>
        <v>0</v>
      </c>
      <c r="AB100" s="190">
        <f t="shared" si="24"/>
        <v>0</v>
      </c>
      <c r="AC100" s="190">
        <f t="shared" si="24"/>
        <v>0</v>
      </c>
      <c r="AD100" s="190">
        <f t="shared" si="24"/>
        <v>0</v>
      </c>
      <c r="AE100" s="190">
        <f t="shared" si="24"/>
        <v>0</v>
      </c>
      <c r="AF100" s="190"/>
      <c r="AG100" s="190">
        <f>AG94-AG95-AG96-AG97-AG98-AG99</f>
        <v>24981.299999999992</v>
      </c>
      <c r="AH100" s="190">
        <f>AH94-AH95-AH96-AH97-AH98-AH99</f>
        <v>124626.40299999998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2019-06-27T08:34:39Z</cp:lastPrinted>
  <dcterms:created xsi:type="dcterms:W3CDTF">2002-11-05T08:53:00Z</dcterms:created>
  <dcterms:modified xsi:type="dcterms:W3CDTF">2019-07-04T12:30:39Z</dcterms:modified>
  <cp:category/>
  <cp:version/>
  <cp:contentType/>
  <cp:contentStatus/>
</cp:coreProperties>
</file>